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360" yWindow="-105" windowWidth="9660" windowHeight="11760" tabRatio="698" activeTab="2"/>
  </bookViews>
  <sheets>
    <sheet name="Команда1" sheetId="1" r:id="rId1"/>
    <sheet name="Команда2" sheetId="2" r:id="rId2"/>
    <sheet name="Анализ" sheetId="3" r:id="rId3"/>
    <sheet name="Отчет" sheetId="4" r:id="rId4"/>
  </sheets>
  <definedNames>
    <definedName name="_xlnm._FilterDatabase" localSheetId="3" hidden="1">Отчет!$A$1:$Y$28</definedName>
    <definedName name="_xlnm.Print_Area" localSheetId="2">Анализ!$A$11:$W$41</definedName>
    <definedName name="_xlnm.Print_Area" localSheetId="0">Команда1!$A$1:$AU$17</definedName>
    <definedName name="_xlnm.Print_Area" localSheetId="1">Команда2!$A$1:$AU$22</definedName>
    <definedName name="_xlnm.Print_Area" localSheetId="3">Отчет!$A$1:$Y$29</definedName>
  </definedNames>
  <calcPr calcId="125725"/>
</workbook>
</file>

<file path=xl/calcChain.xml><?xml version="1.0" encoding="utf-8"?>
<calcChain xmlns="http://schemas.openxmlformats.org/spreadsheetml/2006/main">
  <c r="I4" i="2"/>
  <c r="I5"/>
  <c r="I6"/>
  <c r="I7"/>
  <c r="I8"/>
  <c r="I9"/>
  <c r="I10"/>
  <c r="I11"/>
  <c r="I12"/>
  <c r="I3"/>
  <c r="I4" i="1"/>
  <c r="I5"/>
  <c r="I6"/>
  <c r="I7"/>
  <c r="I8"/>
  <c r="I9"/>
  <c r="I10"/>
  <c r="I11"/>
  <c r="I12"/>
  <c r="I3"/>
  <c r="H3"/>
  <c r="F3"/>
  <c r="F4"/>
  <c r="F5"/>
  <c r="F6"/>
  <c r="F7"/>
  <c r="F8"/>
  <c r="F9"/>
  <c r="F10"/>
  <c r="F11"/>
  <c r="F12"/>
  <c r="F13"/>
  <c r="F14"/>
  <c r="G22" i="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22" i="1"/>
  <c r="F22"/>
  <c r="G21"/>
  <c r="F21"/>
  <c r="G20"/>
  <c r="F20"/>
  <c r="G19"/>
  <c r="F19"/>
  <c r="G18"/>
  <c r="F18"/>
  <c r="G17"/>
  <c r="F17"/>
  <c r="G16"/>
  <c r="F16"/>
  <c r="G15"/>
  <c r="F15"/>
  <c r="G14"/>
  <c r="G13"/>
  <c r="G12"/>
  <c r="G11"/>
  <c r="G10"/>
  <c r="G9"/>
  <c r="G8"/>
  <c r="G7"/>
  <c r="G6"/>
  <c r="G5"/>
  <c r="G4"/>
  <c r="G3"/>
  <c r="I22" i="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H12"/>
  <c r="H11"/>
  <c r="H10"/>
  <c r="H9"/>
  <c r="H8"/>
  <c r="H7"/>
  <c r="H6"/>
  <c r="H5"/>
  <c r="H4"/>
  <c r="H3"/>
  <c r="I22" i="1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H12"/>
  <c r="H11"/>
  <c r="H10"/>
  <c r="H9"/>
  <c r="H8"/>
  <c r="H7"/>
  <c r="H6"/>
  <c r="H5"/>
  <c r="H4"/>
  <c r="N4" i="2" l="1"/>
  <c r="N5"/>
  <c r="N6"/>
  <c r="N7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C2"/>
  <c r="C21" i="3" s="1"/>
  <c r="N4" i="1"/>
  <c r="N5" s="1"/>
  <c r="N6" s="1"/>
  <c r="N7" s="1"/>
  <c r="N8" s="1"/>
  <c r="N9" s="1"/>
  <c r="N10" s="1"/>
  <c r="N11" s="1"/>
  <c r="N12" s="1"/>
  <c r="C2"/>
  <c r="A21" i="3" s="1"/>
  <c r="J3" i="2" l="1"/>
  <c r="J3" i="1"/>
  <c r="L3" s="1"/>
  <c r="J4"/>
  <c r="L4" s="1"/>
  <c r="J5"/>
  <c r="L5" s="1"/>
  <c r="J6"/>
  <c r="L6" s="1"/>
  <c r="J7"/>
  <c r="K7" s="1"/>
  <c r="J8"/>
  <c r="L8" s="1"/>
  <c r="J9"/>
  <c r="K9" s="1"/>
  <c r="J10"/>
  <c r="L10" s="1"/>
  <c r="J11"/>
  <c r="M11" s="1"/>
  <c r="J12"/>
  <c r="L12" s="1"/>
  <c r="J13"/>
  <c r="K13" s="1"/>
  <c r="J14"/>
  <c r="L14" s="1"/>
  <c r="J15"/>
  <c r="K15" s="1"/>
  <c r="J16"/>
  <c r="K16" s="1"/>
  <c r="J17"/>
  <c r="K17" s="1"/>
  <c r="J18"/>
  <c r="K18" s="1"/>
  <c r="J19"/>
  <c r="L19" s="1"/>
  <c r="J20"/>
  <c r="K20" s="1"/>
  <c r="J21"/>
  <c r="M21" s="1"/>
  <c r="J22"/>
  <c r="L22" s="1"/>
  <c r="J4" i="2"/>
  <c r="J5"/>
  <c r="J6"/>
  <c r="J7"/>
  <c r="J8"/>
  <c r="J9"/>
  <c r="J10"/>
  <c r="J11"/>
  <c r="J12"/>
  <c r="J13"/>
  <c r="J14"/>
  <c r="J15"/>
  <c r="J16"/>
  <c r="J17"/>
  <c r="J18"/>
  <c r="J19"/>
  <c r="J20"/>
  <c r="J21"/>
  <c r="J22"/>
  <c r="B3" i="3"/>
  <c r="N13" i="1"/>
  <c r="N14" s="1"/>
  <c r="N15" s="1"/>
  <c r="N16" s="1"/>
  <c r="N17" s="1"/>
  <c r="N18" s="1"/>
  <c r="N19" s="1"/>
  <c r="N20" s="1"/>
  <c r="N21" s="1"/>
  <c r="N22" s="1"/>
  <c r="B4" i="3"/>
  <c r="M14" i="1" l="1"/>
  <c r="L13"/>
  <c r="M20"/>
  <c r="M16"/>
  <c r="L21"/>
  <c r="L18"/>
  <c r="K14"/>
  <c r="AT14" s="1"/>
  <c r="K22"/>
  <c r="M18"/>
  <c r="M5"/>
  <c r="AU5" s="1"/>
  <c r="K5"/>
  <c r="AT5" s="1"/>
  <c r="K21"/>
  <c r="M17"/>
  <c r="L17"/>
  <c r="M13"/>
  <c r="M9"/>
  <c r="L9"/>
  <c r="L15"/>
  <c r="U3"/>
  <c r="U4" s="1"/>
  <c r="U5" s="1"/>
  <c r="U6" s="1"/>
  <c r="U7" s="1"/>
  <c r="U8" s="1"/>
  <c r="U9" s="1"/>
  <c r="U10" s="1"/>
  <c r="U11" s="1"/>
  <c r="U12" s="1"/>
  <c r="U13" s="1"/>
  <c r="U14" s="1"/>
  <c r="U15" s="1"/>
  <c r="U16" s="1"/>
  <c r="U17" s="1"/>
  <c r="U18" s="1"/>
  <c r="U19" s="1"/>
  <c r="U20" s="1"/>
  <c r="U21" s="1"/>
  <c r="U22" s="1"/>
  <c r="L7"/>
  <c r="K11"/>
  <c r="AT11" s="1"/>
  <c r="K19"/>
  <c r="M15"/>
  <c r="L11"/>
  <c r="AU11" s="1"/>
  <c r="M7"/>
  <c r="K3"/>
  <c r="AE3" s="1"/>
  <c r="AB3"/>
  <c r="AB4" s="1"/>
  <c r="AB5" s="1"/>
  <c r="AB6" s="1"/>
  <c r="AB7" s="1"/>
  <c r="AB8" s="1"/>
  <c r="AB9" s="1"/>
  <c r="AB10" s="1"/>
  <c r="AB11" s="1"/>
  <c r="AB12" s="1"/>
  <c r="M19"/>
  <c r="M3"/>
  <c r="S3" s="1"/>
  <c r="AR3" s="1"/>
  <c r="L20"/>
  <c r="L16"/>
  <c r="K12"/>
  <c r="AT12" s="1"/>
  <c r="M12"/>
  <c r="AU12" s="1"/>
  <c r="K10"/>
  <c r="AT10" s="1"/>
  <c r="M10"/>
  <c r="AU10" s="1"/>
  <c r="K8"/>
  <c r="AT8" s="1"/>
  <c r="M8"/>
  <c r="AU8" s="1"/>
  <c r="K6"/>
  <c r="AT6" s="1"/>
  <c r="M6"/>
  <c r="AU6" s="1"/>
  <c r="K4"/>
  <c r="AT4" s="1"/>
  <c r="M4"/>
  <c r="AU4" s="1"/>
  <c r="AT9"/>
  <c r="AT20"/>
  <c r="AT18"/>
  <c r="AT15"/>
  <c r="AT22"/>
  <c r="AT17"/>
  <c r="AT13"/>
  <c r="AT21"/>
  <c r="AT19"/>
  <c r="AT16"/>
  <c r="AT7"/>
  <c r="M22"/>
  <c r="AP3"/>
  <c r="AP4" s="1"/>
  <c r="AP5" s="1"/>
  <c r="AP6" s="1"/>
  <c r="AO3"/>
  <c r="AO4" s="1"/>
  <c r="AO5" s="1"/>
  <c r="AO6" s="1"/>
  <c r="AN3"/>
  <c r="AN4" s="1"/>
  <c r="AN5" s="1"/>
  <c r="AN6" s="1"/>
  <c r="AM3"/>
  <c r="AM4" s="1"/>
  <c r="AM5" s="1"/>
  <c r="AM6" s="1"/>
  <c r="AL3"/>
  <c r="AL4" s="1"/>
  <c r="AL5" s="1"/>
  <c r="AL6" s="1"/>
  <c r="AK3"/>
  <c r="AK4" s="1"/>
  <c r="AK5" s="1"/>
  <c r="AK6" s="1"/>
  <c r="AJ3"/>
  <c r="AJ4" s="1"/>
  <c r="AJ5" s="1"/>
  <c r="AJ6" s="1"/>
  <c r="AI3"/>
  <c r="AI4" s="1"/>
  <c r="AI5" s="1"/>
  <c r="AI6" s="1"/>
  <c r="R3"/>
  <c r="AQ3" s="1"/>
  <c r="AF3"/>
  <c r="AF4" s="1"/>
  <c r="AF5" s="1"/>
  <c r="AF6" s="1"/>
  <c r="K22" i="2"/>
  <c r="AT22" s="1"/>
  <c r="L22"/>
  <c r="M22"/>
  <c r="K21"/>
  <c r="AT21" s="1"/>
  <c r="L21"/>
  <c r="M21"/>
  <c r="K20"/>
  <c r="AT20" s="1"/>
  <c r="L20"/>
  <c r="M20"/>
  <c r="K19"/>
  <c r="AT19" s="1"/>
  <c r="L19"/>
  <c r="M19"/>
  <c r="K18"/>
  <c r="AT18" s="1"/>
  <c r="L18"/>
  <c r="M18"/>
  <c r="K17"/>
  <c r="AT17" s="1"/>
  <c r="L17"/>
  <c r="M17"/>
  <c r="K16"/>
  <c r="AT16" s="1"/>
  <c r="L16"/>
  <c r="M16"/>
  <c r="K15"/>
  <c r="AT15" s="1"/>
  <c r="L15"/>
  <c r="M15"/>
  <c r="K14"/>
  <c r="AT14" s="1"/>
  <c r="L14"/>
  <c r="M14"/>
  <c r="K13"/>
  <c r="AT13" s="1"/>
  <c r="L13"/>
  <c r="M13"/>
  <c r="K12"/>
  <c r="AT12" s="1"/>
  <c r="L12"/>
  <c r="M12"/>
  <c r="K11"/>
  <c r="AT11" s="1"/>
  <c r="L11"/>
  <c r="M11"/>
  <c r="K10"/>
  <c r="AT10" s="1"/>
  <c r="L10"/>
  <c r="M10"/>
  <c r="K9"/>
  <c r="AT9" s="1"/>
  <c r="L9"/>
  <c r="M9"/>
  <c r="K8"/>
  <c r="AT8" s="1"/>
  <c r="L8"/>
  <c r="M8"/>
  <c r="K7"/>
  <c r="AT7" s="1"/>
  <c r="L7"/>
  <c r="M7"/>
  <c r="K6"/>
  <c r="AT6" s="1"/>
  <c r="L6"/>
  <c r="M6"/>
  <c r="K5"/>
  <c r="AT5" s="1"/>
  <c r="L5"/>
  <c r="M5"/>
  <c r="K4"/>
  <c r="AT4" s="1"/>
  <c r="L4"/>
  <c r="M4"/>
  <c r="K3"/>
  <c r="AT3" s="1"/>
  <c r="L3"/>
  <c r="R3" s="1"/>
  <c r="AQ3" s="1"/>
  <c r="M3"/>
  <c r="S3" s="1"/>
  <c r="AR3" s="1"/>
  <c r="U3"/>
  <c r="U4" s="1"/>
  <c r="U5" s="1"/>
  <c r="U6" s="1"/>
  <c r="U7" s="1"/>
  <c r="U8" s="1"/>
  <c r="U9" s="1"/>
  <c r="U10" s="1"/>
  <c r="U11" s="1"/>
  <c r="U12" s="1"/>
  <c r="U13" s="1"/>
  <c r="U14" s="1"/>
  <c r="U15" s="1"/>
  <c r="U16" s="1"/>
  <c r="U17" s="1"/>
  <c r="U18" s="1"/>
  <c r="U19" s="1"/>
  <c r="U20" s="1"/>
  <c r="U21" s="1"/>
  <c r="U22" s="1"/>
  <c r="AB3"/>
  <c r="AB4" s="1"/>
  <c r="AB5" s="1"/>
  <c r="AB6" s="1"/>
  <c r="AB7" s="1"/>
  <c r="AB8" s="1"/>
  <c r="AB9" s="1"/>
  <c r="AB10" s="1"/>
  <c r="AB11" s="1"/>
  <c r="AB12" s="1"/>
  <c r="AB13" s="1"/>
  <c r="AB14" s="1"/>
  <c r="AB15" s="1"/>
  <c r="AB16" s="1"/>
  <c r="AB17" s="1"/>
  <c r="AB18" s="1"/>
  <c r="AB19" s="1"/>
  <c r="AB20" s="1"/>
  <c r="AB21" s="1"/>
  <c r="AB22" s="1"/>
  <c r="Y3" i="1"/>
  <c r="V3" i="2" l="1"/>
  <c r="V4" s="1"/>
  <c r="Z3" i="1"/>
  <c r="Z4" s="1"/>
  <c r="Z5" s="1"/>
  <c r="Z6" s="1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AJ7"/>
  <c r="AJ8" s="1"/>
  <c r="AJ9" s="1"/>
  <c r="AJ10" s="1"/>
  <c r="AJ11" s="1"/>
  <c r="AJ12" s="1"/>
  <c r="AJ13" s="1"/>
  <c r="AJ14" s="1"/>
  <c r="AJ15" s="1"/>
  <c r="AJ16" s="1"/>
  <c r="AJ17" s="1"/>
  <c r="AJ18" s="1"/>
  <c r="AJ19" s="1"/>
  <c r="AJ20" s="1"/>
  <c r="AJ21" s="1"/>
  <c r="AJ22" s="1"/>
  <c r="AU3"/>
  <c r="AU9"/>
  <c r="AU7"/>
  <c r="AI7"/>
  <c r="AI8" s="1"/>
  <c r="AI9" s="1"/>
  <c r="AI10" s="1"/>
  <c r="AI11" s="1"/>
  <c r="AI12" s="1"/>
  <c r="AI13" s="1"/>
  <c r="AI14" s="1"/>
  <c r="AI15" s="1"/>
  <c r="AI16" s="1"/>
  <c r="AI17" s="1"/>
  <c r="AI18" s="1"/>
  <c r="AI19" s="1"/>
  <c r="AI20" s="1"/>
  <c r="AI21" s="1"/>
  <c r="AI22" s="1"/>
  <c r="AL7"/>
  <c r="AL8" s="1"/>
  <c r="AL9" s="1"/>
  <c r="AL10" s="1"/>
  <c r="AL11" s="1"/>
  <c r="AL12" s="1"/>
  <c r="AL13" s="1"/>
  <c r="AL14" s="1"/>
  <c r="AL15" s="1"/>
  <c r="AL16" s="1"/>
  <c r="AL17" s="1"/>
  <c r="AL18" s="1"/>
  <c r="AL19" s="1"/>
  <c r="AL20" s="1"/>
  <c r="AL21" s="1"/>
  <c r="AL22" s="1"/>
  <c r="AK7"/>
  <c r="AK8" s="1"/>
  <c r="AK9" s="1"/>
  <c r="AK10" s="1"/>
  <c r="AK11" s="1"/>
  <c r="AK12" s="1"/>
  <c r="AK13" s="1"/>
  <c r="AK14" s="1"/>
  <c r="AK15" s="1"/>
  <c r="AK16" s="1"/>
  <c r="AK17" s="1"/>
  <c r="AK18" s="1"/>
  <c r="AK19" s="1"/>
  <c r="AK20" s="1"/>
  <c r="AK21" s="1"/>
  <c r="AK22" s="1"/>
  <c r="AP7"/>
  <c r="AP8" s="1"/>
  <c r="AP9" s="1"/>
  <c r="AP10" s="1"/>
  <c r="AP11" s="1"/>
  <c r="AP12" s="1"/>
  <c r="AP13" s="1"/>
  <c r="AP14" s="1"/>
  <c r="AP15" s="1"/>
  <c r="AP16" s="1"/>
  <c r="AP17" s="1"/>
  <c r="AP18" s="1"/>
  <c r="AP19" s="1"/>
  <c r="AP20" s="1"/>
  <c r="AP21" s="1"/>
  <c r="AP22" s="1"/>
  <c r="AG3"/>
  <c r="AG4" s="1"/>
  <c r="AG5" s="1"/>
  <c r="AG6" s="1"/>
  <c r="AG7" s="1"/>
  <c r="AG8" s="1"/>
  <c r="AG9" s="1"/>
  <c r="AG10" s="1"/>
  <c r="AG11" s="1"/>
  <c r="AG12" s="1"/>
  <c r="U3" i="3" s="1"/>
  <c r="AC3" i="1"/>
  <c r="AC4" s="1"/>
  <c r="AD3"/>
  <c r="AD4" s="1"/>
  <c r="AD5" s="1"/>
  <c r="AD6" s="1"/>
  <c r="AD7" s="1"/>
  <c r="AD8" s="1"/>
  <c r="AD9" s="1"/>
  <c r="AD10" s="1"/>
  <c r="AD11" s="1"/>
  <c r="AD12" s="1"/>
  <c r="AD13" s="1"/>
  <c r="AD14" s="1"/>
  <c r="AD15" s="1"/>
  <c r="AD16" s="1"/>
  <c r="AD17" s="1"/>
  <c r="AD18" s="1"/>
  <c r="AD19" s="1"/>
  <c r="AD20" s="1"/>
  <c r="AD21" s="1"/>
  <c r="AD22" s="1"/>
  <c r="AF7"/>
  <c r="AF8" s="1"/>
  <c r="AF9" s="1"/>
  <c r="AF10" s="1"/>
  <c r="AF11" s="1"/>
  <c r="AF12" s="1"/>
  <c r="AF13" s="1"/>
  <c r="AF14" s="1"/>
  <c r="AF15" s="1"/>
  <c r="AF16" s="1"/>
  <c r="AF17" s="1"/>
  <c r="AF18" s="1"/>
  <c r="AF19" s="1"/>
  <c r="AF20" s="1"/>
  <c r="AF21" s="1"/>
  <c r="AF22" s="1"/>
  <c r="Z3" i="2"/>
  <c r="Z4" s="1"/>
  <c r="Z5" s="1"/>
  <c r="Z6" s="1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AD3"/>
  <c r="AD4" s="1"/>
  <c r="AD5" s="1"/>
  <c r="AD6" s="1"/>
  <c r="AD7" s="1"/>
  <c r="AD8" s="1"/>
  <c r="AD9" s="1"/>
  <c r="AD10" s="1"/>
  <c r="AD11" s="1"/>
  <c r="AD12" s="1"/>
  <c r="AC3"/>
  <c r="AC4" s="1"/>
  <c r="AM7" i="1"/>
  <c r="AM8" s="1"/>
  <c r="AM9" s="1"/>
  <c r="AM10" s="1"/>
  <c r="AM11" s="1"/>
  <c r="AM12" s="1"/>
  <c r="AM13" s="1"/>
  <c r="AM14" s="1"/>
  <c r="AM15" s="1"/>
  <c r="AM16" s="1"/>
  <c r="AM17" s="1"/>
  <c r="AM18" s="1"/>
  <c r="AM19" s="1"/>
  <c r="AM20" s="1"/>
  <c r="AM21" s="1"/>
  <c r="AM22" s="1"/>
  <c r="AO7"/>
  <c r="AO8" s="1"/>
  <c r="AO9" s="1"/>
  <c r="AO10" s="1"/>
  <c r="AO11" s="1"/>
  <c r="AO12" s="1"/>
  <c r="AO13" s="1"/>
  <c r="AO14" s="1"/>
  <c r="AO15" s="1"/>
  <c r="AO16" s="1"/>
  <c r="AO17" s="1"/>
  <c r="AO18" s="1"/>
  <c r="AO19" s="1"/>
  <c r="AO20" s="1"/>
  <c r="AO21" s="1"/>
  <c r="AO22" s="1"/>
  <c r="AN7"/>
  <c r="AN8" s="1"/>
  <c r="AN9" s="1"/>
  <c r="AN10" s="1"/>
  <c r="AN11" s="1"/>
  <c r="AN12" s="1"/>
  <c r="AN13" s="1"/>
  <c r="AN14" s="1"/>
  <c r="AN15" s="1"/>
  <c r="AN16" s="1"/>
  <c r="AN17" s="1"/>
  <c r="AN18" s="1"/>
  <c r="AN19" s="1"/>
  <c r="AN20" s="1"/>
  <c r="AN21" s="1"/>
  <c r="AN22" s="1"/>
  <c r="W3" i="2"/>
  <c r="W4" s="1"/>
  <c r="W5" s="1"/>
  <c r="W6" s="1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W22" s="1"/>
  <c r="S4" i="1"/>
  <c r="AR4" s="1"/>
  <c r="AE4"/>
  <c r="AE5" s="1"/>
  <c r="AE6" s="1"/>
  <c r="AE7" s="1"/>
  <c r="AE8" s="1"/>
  <c r="AE9" s="1"/>
  <c r="AE10" s="1"/>
  <c r="AE11" s="1"/>
  <c r="AE12" s="1"/>
  <c r="S3" i="3" s="1"/>
  <c r="V3" i="1"/>
  <c r="V4" s="1"/>
  <c r="Q3"/>
  <c r="Q4" s="1"/>
  <c r="Q5" s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W3"/>
  <c r="W4" s="1"/>
  <c r="W5" s="1"/>
  <c r="W6" s="1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W22" s="1"/>
  <c r="AT3"/>
  <c r="H21" i="3" s="1"/>
  <c r="P3" i="1"/>
  <c r="P4" s="1"/>
  <c r="P5" s="1"/>
  <c r="P6" s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X3"/>
  <c r="X4" s="1"/>
  <c r="X5" s="1"/>
  <c r="X6" s="1"/>
  <c r="X7" s="1"/>
  <c r="X8" s="1"/>
  <c r="X9" s="1"/>
  <c r="X10" s="1"/>
  <c r="X11" s="1"/>
  <c r="X12" s="1"/>
  <c r="X13" s="1"/>
  <c r="X14" s="1"/>
  <c r="X15" s="1"/>
  <c r="X16" s="1"/>
  <c r="X17" s="1"/>
  <c r="X18" s="1"/>
  <c r="X19" s="1"/>
  <c r="X20" s="1"/>
  <c r="X21" s="1"/>
  <c r="X22" s="1"/>
  <c r="O3"/>
  <c r="O4" s="1"/>
  <c r="AE3" i="2"/>
  <c r="AE4" s="1"/>
  <c r="AE5" s="1"/>
  <c r="AE6" s="1"/>
  <c r="AE7" s="1"/>
  <c r="AE8" s="1"/>
  <c r="AE9" s="1"/>
  <c r="AE10" s="1"/>
  <c r="AE11" s="1"/>
  <c r="AE12" s="1"/>
  <c r="AE13" s="1"/>
  <c r="AE14" s="1"/>
  <c r="AE15" s="1"/>
  <c r="AE16" s="1"/>
  <c r="AE17" s="1"/>
  <c r="AE18" s="1"/>
  <c r="AE19" s="1"/>
  <c r="AE20" s="1"/>
  <c r="AE21" s="1"/>
  <c r="AE22" s="1"/>
  <c r="AF3"/>
  <c r="AF4" s="1"/>
  <c r="AF5" s="1"/>
  <c r="AF6" s="1"/>
  <c r="AF7" s="1"/>
  <c r="AF8" s="1"/>
  <c r="AF9" s="1"/>
  <c r="AF10" s="1"/>
  <c r="AF11" s="1"/>
  <c r="AF12" s="1"/>
  <c r="AF13" s="1"/>
  <c r="AF14" s="1"/>
  <c r="AF15" s="1"/>
  <c r="AF16" s="1"/>
  <c r="AF17" s="1"/>
  <c r="AF18" s="1"/>
  <c r="AF19" s="1"/>
  <c r="AF20" s="1"/>
  <c r="AF21" s="1"/>
  <c r="AF22" s="1"/>
  <c r="X3"/>
  <c r="X4" s="1"/>
  <c r="X5" s="1"/>
  <c r="X6" s="1"/>
  <c r="X7" s="1"/>
  <c r="X8" s="1"/>
  <c r="X9" s="1"/>
  <c r="X10" s="1"/>
  <c r="X11" s="1"/>
  <c r="X12" s="1"/>
  <c r="AG3"/>
  <c r="AG4" s="1"/>
  <c r="AG5" s="1"/>
  <c r="AG6" s="1"/>
  <c r="AG7" s="1"/>
  <c r="AG8" s="1"/>
  <c r="AG9" s="1"/>
  <c r="AG10" s="1"/>
  <c r="AG11" s="1"/>
  <c r="AG12" s="1"/>
  <c r="AG13" s="1"/>
  <c r="AG14" s="1"/>
  <c r="AG15" s="1"/>
  <c r="AG16" s="1"/>
  <c r="AG17" s="1"/>
  <c r="AG18" s="1"/>
  <c r="AG19" s="1"/>
  <c r="AG20" s="1"/>
  <c r="AG21" s="1"/>
  <c r="AG22" s="1"/>
  <c r="I3" i="3"/>
  <c r="Y3" i="2"/>
  <c r="Y4" s="1"/>
  <c r="P3" i="3"/>
  <c r="AB13" i="1"/>
  <c r="AB14" s="1"/>
  <c r="AB15" s="1"/>
  <c r="AB16" s="1"/>
  <c r="AB17" s="1"/>
  <c r="AB18" s="1"/>
  <c r="AB19" s="1"/>
  <c r="AB20" s="1"/>
  <c r="AB21" s="1"/>
  <c r="AB22" s="1"/>
  <c r="R4"/>
  <c r="AQ4" s="1"/>
  <c r="AU10" i="2"/>
  <c r="AU12"/>
  <c r="AU5"/>
  <c r="AU6"/>
  <c r="AU8"/>
  <c r="AU4"/>
  <c r="AU11"/>
  <c r="AU7"/>
  <c r="AU9"/>
  <c r="AU3"/>
  <c r="F16" i="3"/>
  <c r="I21"/>
  <c r="O9"/>
  <c r="AM3" i="2"/>
  <c r="AN3"/>
  <c r="AO3"/>
  <c r="AP3"/>
  <c r="AP4" s="1"/>
  <c r="AP5" s="1"/>
  <c r="AP6" s="1"/>
  <c r="AP7" s="1"/>
  <c r="AP8" s="1"/>
  <c r="AP9" s="1"/>
  <c r="AP10" s="1"/>
  <c r="AP11" s="1"/>
  <c r="AP12" s="1"/>
  <c r="AP13" s="1"/>
  <c r="AP14" s="1"/>
  <c r="AP15" s="1"/>
  <c r="AP16" s="1"/>
  <c r="AP17" s="1"/>
  <c r="AP18" s="1"/>
  <c r="AP19" s="1"/>
  <c r="AP20" s="1"/>
  <c r="AP21" s="1"/>
  <c r="AP22" s="1"/>
  <c r="AI3"/>
  <c r="AI4" s="1"/>
  <c r="AI5" s="1"/>
  <c r="AI6" s="1"/>
  <c r="AI7" s="1"/>
  <c r="AI8" s="1"/>
  <c r="AI9" s="1"/>
  <c r="AI10" s="1"/>
  <c r="AI11" s="1"/>
  <c r="AI12" s="1"/>
  <c r="AI13" s="1"/>
  <c r="AI14" s="1"/>
  <c r="AI15" s="1"/>
  <c r="AI16" s="1"/>
  <c r="AI17" s="1"/>
  <c r="AI18" s="1"/>
  <c r="AI19" s="1"/>
  <c r="AI20" s="1"/>
  <c r="AI21" s="1"/>
  <c r="AI22" s="1"/>
  <c r="AJ3"/>
  <c r="AJ4" s="1"/>
  <c r="AJ5" s="1"/>
  <c r="AJ6" s="1"/>
  <c r="AJ7" s="1"/>
  <c r="AJ8" s="1"/>
  <c r="AJ9" s="1"/>
  <c r="AJ10" s="1"/>
  <c r="AJ11" s="1"/>
  <c r="AJ12" s="1"/>
  <c r="AJ13" s="1"/>
  <c r="AJ14" s="1"/>
  <c r="AJ15" s="1"/>
  <c r="AJ16" s="1"/>
  <c r="AJ17" s="1"/>
  <c r="AJ18" s="1"/>
  <c r="AJ19" s="1"/>
  <c r="AJ20" s="1"/>
  <c r="AJ21" s="1"/>
  <c r="AJ22" s="1"/>
  <c r="AK3"/>
  <c r="AK4" s="1"/>
  <c r="AK5" s="1"/>
  <c r="AK6" s="1"/>
  <c r="AK7" s="1"/>
  <c r="AK8" s="1"/>
  <c r="AK9" s="1"/>
  <c r="AK10" s="1"/>
  <c r="AK11" s="1"/>
  <c r="AK12" s="1"/>
  <c r="AK13" s="1"/>
  <c r="AK14" s="1"/>
  <c r="AK15" s="1"/>
  <c r="AK16" s="1"/>
  <c r="AK17" s="1"/>
  <c r="AK18" s="1"/>
  <c r="AK19" s="1"/>
  <c r="AK20" s="1"/>
  <c r="AK21" s="1"/>
  <c r="AK22" s="1"/>
  <c r="AL3"/>
  <c r="AL4" s="1"/>
  <c r="AL5" s="1"/>
  <c r="AL6" s="1"/>
  <c r="AL7" s="1"/>
  <c r="AL8" s="1"/>
  <c r="AL9" s="1"/>
  <c r="AL10" s="1"/>
  <c r="AL11" s="1"/>
  <c r="AL12" s="1"/>
  <c r="AL13" s="1"/>
  <c r="AL14" s="1"/>
  <c r="AL15" s="1"/>
  <c r="AL16" s="1"/>
  <c r="AL17" s="1"/>
  <c r="AL18" s="1"/>
  <c r="AL19" s="1"/>
  <c r="AL20" s="1"/>
  <c r="AL21" s="1"/>
  <c r="AL22" s="1"/>
  <c r="AM4"/>
  <c r="AM5" s="1"/>
  <c r="AM6" s="1"/>
  <c r="AM7" s="1"/>
  <c r="AM8" s="1"/>
  <c r="AM9" s="1"/>
  <c r="AM10" s="1"/>
  <c r="AM11" s="1"/>
  <c r="AM12" s="1"/>
  <c r="AN4"/>
  <c r="AN5" s="1"/>
  <c r="AN6" s="1"/>
  <c r="AN7" s="1"/>
  <c r="AN8" s="1"/>
  <c r="AN9" s="1"/>
  <c r="AN10" s="1"/>
  <c r="AN11" s="1"/>
  <c r="AN12" s="1"/>
  <c r="AN13" s="1"/>
  <c r="AN14" s="1"/>
  <c r="AN15" s="1"/>
  <c r="AN16" s="1"/>
  <c r="AN17" s="1"/>
  <c r="AN18" s="1"/>
  <c r="AN19" s="1"/>
  <c r="AN20" s="1"/>
  <c r="AN21" s="1"/>
  <c r="AN22" s="1"/>
  <c r="AO4"/>
  <c r="AO5" s="1"/>
  <c r="AO6" s="1"/>
  <c r="AO7" s="1"/>
  <c r="AO8" s="1"/>
  <c r="AO9" s="1"/>
  <c r="AO10" s="1"/>
  <c r="AO11" s="1"/>
  <c r="AO12" s="1"/>
  <c r="AO13" s="1"/>
  <c r="AO14" s="1"/>
  <c r="AO15" s="1"/>
  <c r="AO16" s="1"/>
  <c r="AO17" s="1"/>
  <c r="AO18" s="1"/>
  <c r="AO19" s="1"/>
  <c r="AO20" s="1"/>
  <c r="AO21" s="1"/>
  <c r="AO22" s="1"/>
  <c r="Y4" i="1"/>
  <c r="O3" i="2"/>
  <c r="O4" s="1"/>
  <c r="O5" s="1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P3"/>
  <c r="P4" s="1"/>
  <c r="P5" s="1"/>
  <c r="P6" s="1"/>
  <c r="P7" s="1"/>
  <c r="P8" s="1"/>
  <c r="P9" s="1"/>
  <c r="P10" s="1"/>
  <c r="P11" s="1"/>
  <c r="P12" s="1"/>
  <c r="Q3"/>
  <c r="Q4" s="1"/>
  <c r="Q5" s="1"/>
  <c r="Q6" s="1"/>
  <c r="Q7" s="1"/>
  <c r="Q8" s="1"/>
  <c r="Q9" s="1"/>
  <c r="Q10" s="1"/>
  <c r="Q11" s="1"/>
  <c r="Q12" s="1"/>
  <c r="S4"/>
  <c r="AR4" s="1"/>
  <c r="R4"/>
  <c r="AQ4" s="1"/>
  <c r="P4" i="3"/>
  <c r="I4"/>
  <c r="U21" l="1"/>
  <c r="U23"/>
  <c r="U25"/>
  <c r="U4"/>
  <c r="R7" s="1"/>
  <c r="AA3" i="2"/>
  <c r="R3" i="3"/>
  <c r="E16"/>
  <c r="AA3" i="1"/>
  <c r="T3" i="3"/>
  <c r="O6" s="1"/>
  <c r="AH3" i="1"/>
  <c r="AC5"/>
  <c r="AH5" s="1"/>
  <c r="AH4"/>
  <c r="AG13"/>
  <c r="AG14" s="1"/>
  <c r="AG15" s="1"/>
  <c r="AG16" s="1"/>
  <c r="AG17" s="1"/>
  <c r="AG18" s="1"/>
  <c r="AG19" s="1"/>
  <c r="AG20" s="1"/>
  <c r="AG21" s="1"/>
  <c r="AG22" s="1"/>
  <c r="AD13" i="2"/>
  <c r="AD14" s="1"/>
  <c r="AD15" s="1"/>
  <c r="AD16" s="1"/>
  <c r="AD17" s="1"/>
  <c r="AD18" s="1"/>
  <c r="AD19" s="1"/>
  <c r="AD20" s="1"/>
  <c r="AD21" s="1"/>
  <c r="AD22" s="1"/>
  <c r="R4" i="3"/>
  <c r="AH3" i="2"/>
  <c r="J9" i="3"/>
  <c r="L9" s="1"/>
  <c r="S4"/>
  <c r="D3"/>
  <c r="R6"/>
  <c r="R5" i="1"/>
  <c r="AQ5" s="1"/>
  <c r="L3" i="3"/>
  <c r="E3"/>
  <c r="AE13" i="1"/>
  <c r="AE14" s="1"/>
  <c r="AE15" s="1"/>
  <c r="AE16" s="1"/>
  <c r="AE17" s="1"/>
  <c r="AE18" s="1"/>
  <c r="AE19" s="1"/>
  <c r="AE20" s="1"/>
  <c r="AE21" s="1"/>
  <c r="AE22" s="1"/>
  <c r="S5"/>
  <c r="AR5" s="1"/>
  <c r="T3"/>
  <c r="K3" i="3"/>
  <c r="N3"/>
  <c r="L6" s="1"/>
  <c r="X13" i="2"/>
  <c r="X14" s="1"/>
  <c r="X15" s="1"/>
  <c r="X16" s="1"/>
  <c r="X17" s="1"/>
  <c r="X18" s="1"/>
  <c r="X19" s="1"/>
  <c r="X20" s="1"/>
  <c r="X21" s="1"/>
  <c r="X22" s="1"/>
  <c r="L4" i="3"/>
  <c r="J10"/>
  <c r="L10" s="1"/>
  <c r="AM13" i="2"/>
  <c r="AM14" s="1"/>
  <c r="AM15" s="1"/>
  <c r="AM16" s="1"/>
  <c r="AM17" s="1"/>
  <c r="AM18" s="1"/>
  <c r="AM19" s="1"/>
  <c r="AM20" s="1"/>
  <c r="AM21" s="1"/>
  <c r="AM22" s="1"/>
  <c r="N4" i="3"/>
  <c r="L7" s="1"/>
  <c r="S5" i="2"/>
  <c r="AR5" s="1"/>
  <c r="R5"/>
  <c r="P13"/>
  <c r="P14" s="1"/>
  <c r="P15" s="1"/>
  <c r="P16" s="1"/>
  <c r="P17" s="1"/>
  <c r="P18" s="1"/>
  <c r="P19" s="1"/>
  <c r="P20" s="1"/>
  <c r="P21" s="1"/>
  <c r="P22" s="1"/>
  <c r="T22" s="1"/>
  <c r="D4" i="3"/>
  <c r="Q13" i="2"/>
  <c r="Q14" s="1"/>
  <c r="Q15" s="1"/>
  <c r="Q16" s="1"/>
  <c r="Q17" s="1"/>
  <c r="Q18" s="1"/>
  <c r="Q19" s="1"/>
  <c r="Q20" s="1"/>
  <c r="Q21" s="1"/>
  <c r="Q22" s="1"/>
  <c r="E4" i="3"/>
  <c r="Y5" i="2"/>
  <c r="Y5" i="1"/>
  <c r="AA4" i="2"/>
  <c r="V5"/>
  <c r="AH4"/>
  <c r="AC5"/>
  <c r="T12"/>
  <c r="T11"/>
  <c r="T10"/>
  <c r="T9"/>
  <c r="T8"/>
  <c r="T7"/>
  <c r="T6"/>
  <c r="T5"/>
  <c r="T4"/>
  <c r="T3"/>
  <c r="T4" i="1"/>
  <c r="O5"/>
  <c r="AA4"/>
  <c r="V5"/>
  <c r="AS3" i="2" l="1"/>
  <c r="R6" i="1"/>
  <c r="R7" s="1"/>
  <c r="AS4"/>
  <c r="AC6"/>
  <c r="AC7" s="1"/>
  <c r="AS3"/>
  <c r="S6"/>
  <c r="S7" s="1"/>
  <c r="T13" i="2"/>
  <c r="T14"/>
  <c r="T15"/>
  <c r="T20"/>
  <c r="T16"/>
  <c r="T17"/>
  <c r="T19"/>
  <c r="T21"/>
  <c r="T18"/>
  <c r="S6"/>
  <c r="S7" s="1"/>
  <c r="AQ5"/>
  <c r="R6"/>
  <c r="Y6"/>
  <c r="AS4"/>
  <c r="Y6" i="1"/>
  <c r="AH5" i="2"/>
  <c r="AC6"/>
  <c r="AA5"/>
  <c r="V6"/>
  <c r="AA5" i="1"/>
  <c r="AS5" s="1"/>
  <c r="V6"/>
  <c r="T5"/>
  <c r="O6"/>
  <c r="AH6" l="1"/>
  <c r="AQ6"/>
  <c r="AR6"/>
  <c r="AR6" i="2"/>
  <c r="AS5"/>
  <c r="AQ6"/>
  <c r="R7"/>
  <c r="AR7"/>
  <c r="S8"/>
  <c r="AR7" i="1"/>
  <c r="S8"/>
  <c r="AQ7"/>
  <c r="R8"/>
  <c r="Y7" i="2"/>
  <c r="I10" i="3" s="1"/>
  <c r="K10" s="1"/>
  <c r="Y7" i="1"/>
  <c r="I9" i="3" s="1"/>
  <c r="K9" s="1"/>
  <c r="AH7" i="1"/>
  <c r="AC8"/>
  <c r="AA6" i="2"/>
  <c r="V7"/>
  <c r="AH6"/>
  <c r="AC7"/>
  <c r="T6" i="1"/>
  <c r="O7"/>
  <c r="AA6"/>
  <c r="V7"/>
  <c r="AS6" l="1"/>
  <c r="AQ7" i="2"/>
  <c r="R8"/>
  <c r="AR8"/>
  <c r="S9"/>
  <c r="AR8" i="1"/>
  <c r="S9"/>
  <c r="AQ8"/>
  <c r="R9"/>
  <c r="Y8" i="2"/>
  <c r="AS6"/>
  <c r="Y8" i="1"/>
  <c r="AH8"/>
  <c r="AC9"/>
  <c r="AH7" i="2"/>
  <c r="AC8"/>
  <c r="AA7"/>
  <c r="V8"/>
  <c r="AA7" i="1"/>
  <c r="AS7" s="1"/>
  <c r="V8"/>
  <c r="T7"/>
  <c r="O8"/>
  <c r="AR9" i="2" l="1"/>
  <c r="S10"/>
  <c r="AQ8"/>
  <c r="R9"/>
  <c r="AS7"/>
  <c r="AR9" i="1"/>
  <c r="S10"/>
  <c r="AQ9"/>
  <c r="R10"/>
  <c r="Y9" i="2"/>
  <c r="Y9" i="1"/>
  <c r="AH9"/>
  <c r="AC10"/>
  <c r="AA8" i="2"/>
  <c r="V9"/>
  <c r="AH8"/>
  <c r="AC9"/>
  <c r="T8" i="1"/>
  <c r="O9"/>
  <c r="AA8"/>
  <c r="AS8" s="1"/>
  <c r="V9"/>
  <c r="R10" i="2" l="1"/>
  <c r="AQ9"/>
  <c r="AR10"/>
  <c r="S11"/>
  <c r="AR10" i="1"/>
  <c r="S11"/>
  <c r="AQ10"/>
  <c r="R11"/>
  <c r="Y10" i="2"/>
  <c r="AS8"/>
  <c r="Y10" i="1"/>
  <c r="AH10"/>
  <c r="AC11"/>
  <c r="AH9" i="2"/>
  <c r="AC10"/>
  <c r="AA9"/>
  <c r="V10"/>
  <c r="AA9" i="1"/>
  <c r="AS9" s="1"/>
  <c r="V10"/>
  <c r="T9"/>
  <c r="O10"/>
  <c r="AS9" i="2" l="1"/>
  <c r="AR11"/>
  <c r="S12"/>
  <c r="R11"/>
  <c r="AQ10"/>
  <c r="AR11" i="1"/>
  <c r="S12"/>
  <c r="AQ11"/>
  <c r="R12"/>
  <c r="C16" i="3" s="1"/>
  <c r="Y11" i="2"/>
  <c r="Y11" i="1"/>
  <c r="AH11"/>
  <c r="AC12"/>
  <c r="AA10" i="2"/>
  <c r="V11"/>
  <c r="AH10"/>
  <c r="AC11"/>
  <c r="T10" i="1"/>
  <c r="O11"/>
  <c r="AA10"/>
  <c r="AS10" s="1"/>
  <c r="V11"/>
  <c r="R12" i="2" l="1"/>
  <c r="D16" i="3" s="1"/>
  <c r="AQ11" i="2"/>
  <c r="AR12"/>
  <c r="S13"/>
  <c r="G4" i="3"/>
  <c r="E7" s="1"/>
  <c r="AR12" i="1"/>
  <c r="S13"/>
  <c r="G3" i="3"/>
  <c r="E6" s="1"/>
  <c r="R13" i="1"/>
  <c r="F3" i="3"/>
  <c r="B6" s="1"/>
  <c r="AQ12" i="1"/>
  <c r="Y12" i="2"/>
  <c r="AS10"/>
  <c r="Y12" i="1"/>
  <c r="Q3" i="3"/>
  <c r="AH12" i="1"/>
  <c r="V3" i="3" s="1"/>
  <c r="AC13" i="1"/>
  <c r="AH11" i="2"/>
  <c r="AC12"/>
  <c r="AA11"/>
  <c r="V12"/>
  <c r="J4" i="3" s="1"/>
  <c r="AA11" i="1"/>
  <c r="AS11" s="1"/>
  <c r="V12"/>
  <c r="T11"/>
  <c r="O12"/>
  <c r="AS11" i="2" l="1"/>
  <c r="AR13"/>
  <c r="S14"/>
  <c r="AQ12"/>
  <c r="R13"/>
  <c r="AR13" i="1"/>
  <c r="S14"/>
  <c r="AQ13"/>
  <c r="R14"/>
  <c r="Y13" i="2"/>
  <c r="M4" i="3"/>
  <c r="M3"/>
  <c r="Y13" i="1"/>
  <c r="AH13"/>
  <c r="AC14"/>
  <c r="AA12" i="2"/>
  <c r="O4" i="3" s="1"/>
  <c r="V13" i="2"/>
  <c r="AH12"/>
  <c r="V4" i="3" s="1"/>
  <c r="AC13" i="2"/>
  <c r="K4" i="3"/>
  <c r="F4"/>
  <c r="B7" s="1"/>
  <c r="T4"/>
  <c r="O7" s="1"/>
  <c r="C4"/>
  <c r="H4"/>
  <c r="C3"/>
  <c r="T12" i="1"/>
  <c r="H3" i="3" s="1"/>
  <c r="O13" i="1"/>
  <c r="J3" i="3"/>
  <c r="AA12" i="1"/>
  <c r="V13"/>
  <c r="Q4" i="3"/>
  <c r="B10" l="1"/>
  <c r="W5"/>
  <c r="R14" i="2"/>
  <c r="AQ13"/>
  <c r="AR14"/>
  <c r="S15"/>
  <c r="AR14" i="1"/>
  <c r="S15"/>
  <c r="V5" i="3"/>
  <c r="O16"/>
  <c r="R21" s="1"/>
  <c r="V7"/>
  <c r="V6"/>
  <c r="W7"/>
  <c r="W6"/>
  <c r="D10"/>
  <c r="I6"/>
  <c r="B9" s="1"/>
  <c r="I7"/>
  <c r="F10" s="1"/>
  <c r="J13" s="1"/>
  <c r="K16" s="1"/>
  <c r="I11"/>
  <c r="AQ14" i="1"/>
  <c r="R15"/>
  <c r="Y14" i="2"/>
  <c r="AS12"/>
  <c r="O3" i="3"/>
  <c r="AS12" i="1"/>
  <c r="Y14"/>
  <c r="AH14"/>
  <c r="AC15"/>
  <c r="AH13" i="2"/>
  <c r="AC14"/>
  <c r="AA13"/>
  <c r="V14"/>
  <c r="AA13" i="1"/>
  <c r="AS13" s="1"/>
  <c r="V14"/>
  <c r="T13"/>
  <c r="O14"/>
  <c r="F9" i="3" l="1"/>
  <c r="I13" s="1"/>
  <c r="J16" s="1"/>
  <c r="AR15" i="2"/>
  <c r="S16"/>
  <c r="AS13"/>
  <c r="R15"/>
  <c r="AQ14"/>
  <c r="AR15" i="1"/>
  <c r="S16"/>
  <c r="M21" i="3"/>
  <c r="N21"/>
  <c r="N16"/>
  <c r="Q21" s="1"/>
  <c r="G13"/>
  <c r="H16" s="1"/>
  <c r="K21" s="1"/>
  <c r="F13"/>
  <c r="G16" s="1"/>
  <c r="J21" s="1"/>
  <c r="H13"/>
  <c r="I16" s="1"/>
  <c r="L21" s="1"/>
  <c r="B11"/>
  <c r="A13" s="1"/>
  <c r="B16" s="1"/>
  <c r="E21" s="1"/>
  <c r="D9"/>
  <c r="D13" s="1"/>
  <c r="AQ15" i="1"/>
  <c r="R16"/>
  <c r="Y15" i="2"/>
  <c r="Y15" i="1"/>
  <c r="AH15"/>
  <c r="AC16"/>
  <c r="AA14" i="2"/>
  <c r="V15"/>
  <c r="AH14"/>
  <c r="AC15"/>
  <c r="B13" i="3"/>
  <c r="F21" s="1"/>
  <c r="Q16" s="1"/>
  <c r="H9"/>
  <c r="E13"/>
  <c r="T14" i="1"/>
  <c r="O15"/>
  <c r="AA14"/>
  <c r="AS14" s="1"/>
  <c r="V15"/>
  <c r="AQ15" i="2" l="1"/>
  <c r="R16"/>
  <c r="AR16"/>
  <c r="S17"/>
  <c r="AR16" i="1"/>
  <c r="S17"/>
  <c r="M16" i="3"/>
  <c r="AQ16" i="1"/>
  <c r="R17"/>
  <c r="Y16" i="2"/>
  <c r="AS14"/>
  <c r="Y16" i="1"/>
  <c r="AH16"/>
  <c r="AC17"/>
  <c r="AH15" i="2"/>
  <c r="AC16"/>
  <c r="AA15"/>
  <c r="V16"/>
  <c r="C13" i="3"/>
  <c r="L16" s="1"/>
  <c r="H10"/>
  <c r="AA15" i="1"/>
  <c r="AS15" s="1"/>
  <c r="V16"/>
  <c r="T15"/>
  <c r="O16"/>
  <c r="AR17" i="2" l="1"/>
  <c r="S18"/>
  <c r="AQ16"/>
  <c r="R17"/>
  <c r="AS15"/>
  <c r="AR17" i="1"/>
  <c r="S18"/>
  <c r="G21" i="3"/>
  <c r="R16" s="1"/>
  <c r="AQ17" i="1"/>
  <c r="R18"/>
  <c r="Y17" i="2"/>
  <c r="Y17" i="1"/>
  <c r="AH17"/>
  <c r="AC18"/>
  <c r="AA16" i="2"/>
  <c r="V17"/>
  <c r="AH16"/>
  <c r="AC17"/>
  <c r="T16" i="1"/>
  <c r="O17"/>
  <c r="AA16"/>
  <c r="AS16" s="1"/>
  <c r="V17"/>
  <c r="R18" i="2" l="1"/>
  <c r="AQ17"/>
  <c r="AR18"/>
  <c r="S19"/>
  <c r="AR18" i="1"/>
  <c r="S19"/>
  <c r="AQ18"/>
  <c r="R19"/>
  <c r="Y18" i="2"/>
  <c r="AS16"/>
  <c r="Y18" i="1"/>
  <c r="AH18"/>
  <c r="AC19"/>
  <c r="AH17" i="2"/>
  <c r="AC18"/>
  <c r="AA17"/>
  <c r="V18"/>
  <c r="AA17" i="1"/>
  <c r="AS17" s="1"/>
  <c r="V18"/>
  <c r="T17"/>
  <c r="O18"/>
  <c r="AR19" i="2" l="1"/>
  <c r="S20"/>
  <c r="AS17"/>
  <c r="AQ18"/>
  <c r="R19"/>
  <c r="AR19" i="1"/>
  <c r="S20"/>
  <c r="AQ19"/>
  <c r="R20"/>
  <c r="Y19" i="2"/>
  <c r="Y19" i="1"/>
  <c r="AH19"/>
  <c r="AC20"/>
  <c r="AA18" i="2"/>
  <c r="V19"/>
  <c r="AH18"/>
  <c r="AC19"/>
  <c r="T18" i="1"/>
  <c r="O19"/>
  <c r="AA18"/>
  <c r="AS18" s="1"/>
  <c r="V19"/>
  <c r="AR20" i="2" l="1"/>
  <c r="S21"/>
  <c r="R20"/>
  <c r="AQ19"/>
  <c r="AR20" i="1"/>
  <c r="S21"/>
  <c r="AQ20"/>
  <c r="R21"/>
  <c r="Y20" i="2"/>
  <c r="AS18"/>
  <c r="Y20" i="1"/>
  <c r="AH20"/>
  <c r="AC21"/>
  <c r="AH19" i="2"/>
  <c r="AC20"/>
  <c r="AA19"/>
  <c r="V20"/>
  <c r="AA19" i="1"/>
  <c r="AS19" s="1"/>
  <c r="V20"/>
  <c r="T19"/>
  <c r="O20"/>
  <c r="AS19" i="2" l="1"/>
  <c r="AQ20"/>
  <c r="R21"/>
  <c r="AR21"/>
  <c r="S22"/>
  <c r="AR22" s="1"/>
  <c r="AR21" i="1"/>
  <c r="S22"/>
  <c r="AR22" s="1"/>
  <c r="AQ21"/>
  <c r="R22"/>
  <c r="Y21" i="2"/>
  <c r="Y21" i="1"/>
  <c r="AH21"/>
  <c r="AC22"/>
  <c r="AA20" i="2"/>
  <c r="V21"/>
  <c r="AH20"/>
  <c r="AC21"/>
  <c r="T20" i="1"/>
  <c r="O21"/>
  <c r="AA20"/>
  <c r="AS20" s="1"/>
  <c r="V21"/>
  <c r="R22" i="2" l="1"/>
  <c r="AQ22" s="1"/>
  <c r="AQ21"/>
  <c r="AQ22" i="1"/>
  <c r="Y22" i="2"/>
  <c r="AS20"/>
  <c r="Y22" i="1"/>
  <c r="AH22"/>
  <c r="AH21" i="2"/>
  <c r="AC22"/>
  <c r="AA21"/>
  <c r="V22"/>
  <c r="AA21" i="1"/>
  <c r="AS21" s="1"/>
  <c r="V22"/>
  <c r="T21"/>
  <c r="O22"/>
  <c r="AS21" i="2" l="1"/>
  <c r="AA22"/>
  <c r="AH22"/>
  <c r="T22" i="1"/>
  <c r="AA22"/>
  <c r="AS22" i="2" l="1"/>
  <c r="AS22" i="1"/>
  <c r="S23" i="3" l="1"/>
  <c r="S22"/>
  <c r="S21"/>
  <c r="T21"/>
  <c r="P21"/>
  <c r="O21"/>
</calcChain>
</file>

<file path=xl/sharedStrings.xml><?xml version="1.0" encoding="utf-8"?>
<sst xmlns="http://schemas.openxmlformats.org/spreadsheetml/2006/main" count="602" uniqueCount="262">
  <si>
    <t>Команда-</t>
  </si>
  <si>
    <t>Команда1</t>
  </si>
  <si>
    <t>Команда2</t>
  </si>
  <si>
    <t>Голы1</t>
  </si>
  <si>
    <t>Голы2</t>
  </si>
  <si>
    <t>Где играла</t>
  </si>
  <si>
    <t>Результат</t>
  </si>
  <si>
    <t>Забито</t>
  </si>
  <si>
    <t>Пропущено</t>
  </si>
  <si>
    <t>Игр</t>
  </si>
  <si>
    <t>В</t>
  </si>
  <si>
    <t>Н</t>
  </si>
  <si>
    <t>П</t>
  </si>
  <si>
    <t>Очки</t>
  </si>
  <si>
    <t>Всего</t>
  </si>
  <si>
    <t>Дома</t>
  </si>
  <si>
    <t>В гостях</t>
  </si>
  <si>
    <t>На выезде</t>
  </si>
  <si>
    <t>Хозяева</t>
  </si>
  <si>
    <t>Гости</t>
  </si>
  <si>
    <t>Забивают</t>
  </si>
  <si>
    <t>Пропускают</t>
  </si>
  <si>
    <t>Тоталы</t>
  </si>
  <si>
    <t>Ср. тотал</t>
  </si>
  <si>
    <t>Рейтинг</t>
  </si>
  <si>
    <t>Счет</t>
  </si>
  <si>
    <t>Общий</t>
  </si>
  <si>
    <t>Т(2.5)</t>
  </si>
  <si>
    <t>Т1</t>
  </si>
  <si>
    <t>Т2</t>
  </si>
  <si>
    <t>1-Х-2</t>
  </si>
  <si>
    <t>X</t>
  </si>
  <si>
    <t>Итоги</t>
  </si>
  <si>
    <t>10 игр</t>
  </si>
  <si>
    <t>Фора</t>
  </si>
  <si>
    <t>1Х</t>
  </si>
  <si>
    <t>3+</t>
  </si>
  <si>
    <t>Забивают дома</t>
  </si>
  <si>
    <t>Забивают в гостях</t>
  </si>
  <si>
    <t>Среднее</t>
  </si>
  <si>
    <t>№</t>
  </si>
  <si>
    <t>Команды</t>
  </si>
  <si>
    <t>Тотал</t>
  </si>
  <si>
    <t>Тотал1</t>
  </si>
  <si>
    <t>Тотал2</t>
  </si>
  <si>
    <t>Х</t>
  </si>
  <si>
    <t>Заб1</t>
  </si>
  <si>
    <t>Заб2</t>
  </si>
  <si>
    <t>Мощь</t>
  </si>
  <si>
    <t>Команда 1</t>
  </si>
  <si>
    <t>Команда 2</t>
  </si>
  <si>
    <t>Заб 1</t>
  </si>
  <si>
    <t>Заб 2</t>
  </si>
  <si>
    <t>Забит</t>
  </si>
  <si>
    <t>Проп</t>
  </si>
  <si>
    <t>Набр</t>
  </si>
  <si>
    <t>Потер</t>
  </si>
  <si>
    <t>1:1</t>
  </si>
  <si>
    <t>2:0</t>
  </si>
  <si>
    <t>1:0</t>
  </si>
  <si>
    <t>Серия</t>
  </si>
  <si>
    <t>Прогноз</t>
  </si>
  <si>
    <t>1Х2</t>
  </si>
  <si>
    <t>Х2</t>
  </si>
  <si>
    <t>Ср. заб.</t>
  </si>
  <si>
    <t>0:2</t>
  </si>
  <si>
    <t>Серия1</t>
  </si>
  <si>
    <t>Серия2</t>
  </si>
  <si>
    <t>Т</t>
  </si>
  <si>
    <t>Забив</t>
  </si>
  <si>
    <t>2:2</t>
  </si>
  <si>
    <t>0:3</t>
  </si>
  <si>
    <t>4:1</t>
  </si>
  <si>
    <t>Минск</t>
  </si>
  <si>
    <t>БАТЭ</t>
  </si>
  <si>
    <t>Гомель</t>
  </si>
  <si>
    <t>0:0</t>
  </si>
  <si>
    <t>Белшина</t>
  </si>
  <si>
    <t>Нафтан</t>
  </si>
  <si>
    <t>Шахтер С</t>
  </si>
  <si>
    <t>Динамо Минск</t>
  </si>
  <si>
    <t>Витебск</t>
  </si>
  <si>
    <t>Торпедо Жодино</t>
  </si>
  <si>
    <t>Динамо Брест</t>
  </si>
  <si>
    <t>29.06.2011</t>
  </si>
  <si>
    <t>24.06.2011</t>
  </si>
  <si>
    <t>19.06.2011</t>
  </si>
  <si>
    <t>Днепр Мог</t>
  </si>
  <si>
    <t>5:0</t>
  </si>
  <si>
    <t>12.06.2011</t>
  </si>
  <si>
    <t>25.05.2011</t>
  </si>
  <si>
    <t>Неман Гродно</t>
  </si>
  <si>
    <t>21.05.2011</t>
  </si>
  <si>
    <t>15.05.2011</t>
  </si>
  <si>
    <t>11.05.2011</t>
  </si>
  <si>
    <t>07.05.2011</t>
  </si>
  <si>
    <t>30.04.2011</t>
  </si>
  <si>
    <t>23.04.2011</t>
  </si>
  <si>
    <t>19.04.2011</t>
  </si>
  <si>
    <t>15.04.2011</t>
  </si>
  <si>
    <t>10.04.2011</t>
  </si>
  <si>
    <t>27.05.2011</t>
  </si>
  <si>
    <t>Вашингтон</t>
  </si>
  <si>
    <t>Каролина</t>
  </si>
  <si>
    <t>Нэшвилл</t>
  </si>
  <si>
    <t>3:3</t>
  </si>
  <si>
    <t>Финикс</t>
  </si>
  <si>
    <t>Виннипег</t>
  </si>
  <si>
    <t>Калгари</t>
  </si>
  <si>
    <t>Монреаль</t>
  </si>
  <si>
    <t>4:3</t>
  </si>
  <si>
    <t>Детройт</t>
  </si>
  <si>
    <t>Чикаго</t>
  </si>
  <si>
    <t>Лос-Анджелес</t>
  </si>
  <si>
    <t>Даллас</t>
  </si>
  <si>
    <t>Ванкувер</t>
  </si>
  <si>
    <t>Колорадо</t>
  </si>
  <si>
    <t>Эдмонтон</t>
  </si>
  <si>
    <t>Коламбус</t>
  </si>
  <si>
    <t>Миннесота</t>
  </si>
  <si>
    <t>Оттава</t>
  </si>
  <si>
    <t>ВВНПНПВ</t>
  </si>
  <si>
    <t>НВПНВ</t>
  </si>
  <si>
    <t>ВПНПВВ</t>
  </si>
  <si>
    <t>ВННН</t>
  </si>
  <si>
    <t>Филадельфия</t>
  </si>
  <si>
    <t>ВВНВВВ</t>
  </si>
  <si>
    <t>ППВВВ</t>
  </si>
  <si>
    <t>5:4</t>
  </si>
  <si>
    <t>Бостон</t>
  </si>
  <si>
    <t>ВВВВВН</t>
  </si>
  <si>
    <t>НПНПНП</t>
  </si>
  <si>
    <t>П1</t>
  </si>
  <si>
    <t>Проход</t>
  </si>
  <si>
    <t>ТБ(5,5)</t>
  </si>
  <si>
    <t>ТБ(4,5)</t>
  </si>
  <si>
    <t>ТБ(3,5)</t>
  </si>
  <si>
    <t>ТБ</t>
  </si>
  <si>
    <t>+</t>
  </si>
  <si>
    <t>Айлендерс</t>
  </si>
  <si>
    <t>Нью-Джерси</t>
  </si>
  <si>
    <t>Анахайм</t>
  </si>
  <si>
    <t>Питтсбург</t>
  </si>
  <si>
    <t>3:2</t>
  </si>
  <si>
    <t>Рейнджерс</t>
  </si>
  <si>
    <t>3:4</t>
  </si>
  <si>
    <t>Торонто</t>
  </si>
  <si>
    <t>ННВВ</t>
  </si>
  <si>
    <t>ВНПНВ</t>
  </si>
  <si>
    <t>Флорида</t>
  </si>
  <si>
    <t>2:4</t>
  </si>
  <si>
    <t>ВППНН</t>
  </si>
  <si>
    <t>ВП</t>
  </si>
  <si>
    <t>Сан-Хосе</t>
  </si>
  <si>
    <t>Сент-Луис</t>
  </si>
  <si>
    <t>ПНВ</t>
  </si>
  <si>
    <t>ННВННВ</t>
  </si>
  <si>
    <t>П2</t>
  </si>
  <si>
    <t>Баффало</t>
  </si>
  <si>
    <t>4:2</t>
  </si>
  <si>
    <t>ВВВ</t>
  </si>
  <si>
    <t>ВВВПНП</t>
  </si>
  <si>
    <t>НППВ</t>
  </si>
  <si>
    <t>ПННПНП</t>
  </si>
  <si>
    <t>ВВПНП</t>
  </si>
  <si>
    <t>НППП</t>
  </si>
  <si>
    <t>НВВВ</t>
  </si>
  <si>
    <t>НПВПП</t>
  </si>
  <si>
    <t>НВВНП</t>
  </si>
  <si>
    <t>НВПВП</t>
  </si>
  <si>
    <t>НВВВП</t>
  </si>
  <si>
    <t>ПППВВВ</t>
  </si>
  <si>
    <t>ППНПП</t>
  </si>
  <si>
    <t>ННПНПН</t>
  </si>
  <si>
    <t>НПВ</t>
  </si>
  <si>
    <t>ВПППП</t>
  </si>
  <si>
    <t>-</t>
  </si>
  <si>
    <t>Тампа-Бэй</t>
  </si>
  <si>
    <t>ПНППП</t>
  </si>
  <si>
    <t>НПП</t>
  </si>
  <si>
    <t>2:3</t>
  </si>
  <si>
    <t>НВВВВВ</t>
  </si>
  <si>
    <t>ВНВПН</t>
  </si>
  <si>
    <t>ТБ(3.5)</t>
  </si>
  <si>
    <t>ТБ(4.5)</t>
  </si>
  <si>
    <t>ТБ(5.5)</t>
  </si>
  <si>
    <t>Число</t>
  </si>
  <si>
    <t>3:5</t>
  </si>
  <si>
    <t>ППНН</t>
  </si>
  <si>
    <t>НВПВ</t>
  </si>
  <si>
    <t>ПВВВ</t>
  </si>
  <si>
    <t>ППВ</t>
  </si>
  <si>
    <t>4:4</t>
  </si>
  <si>
    <t>ВПННН</t>
  </si>
  <si>
    <t>ПНВННП</t>
  </si>
  <si>
    <t>ВВВНПНПВ</t>
  </si>
  <si>
    <t>НПППВ</t>
  </si>
  <si>
    <t>ПНН</t>
  </si>
  <si>
    <t>ПНПП</t>
  </si>
  <si>
    <t>ППППВВ</t>
  </si>
  <si>
    <t>ВНВВВ</t>
  </si>
  <si>
    <t>НПННПНП</t>
  </si>
  <si>
    <t>ВНВВН</t>
  </si>
  <si>
    <t>ВННПНП</t>
  </si>
  <si>
    <t>ННПВ</t>
  </si>
  <si>
    <t>ПНВПВ</t>
  </si>
  <si>
    <t>НВПППП</t>
  </si>
  <si>
    <t>НВНВН</t>
  </si>
  <si>
    <t>13.02.2014</t>
  </si>
  <si>
    <t>Хьюстон</t>
  </si>
  <si>
    <t>Индиана</t>
  </si>
  <si>
    <t>27.02.2014</t>
  </si>
  <si>
    <t>Бруклин</t>
  </si>
  <si>
    <t>Майами</t>
  </si>
  <si>
    <t>Сакраменто</t>
  </si>
  <si>
    <t>Сан-Антонио</t>
  </si>
  <si>
    <t>Портленд</t>
  </si>
  <si>
    <t>Клипперс</t>
  </si>
  <si>
    <t>02.03.2014</t>
  </si>
  <si>
    <t>Оклахома</t>
  </si>
  <si>
    <t>Юта</t>
  </si>
  <si>
    <t>102:96</t>
  </si>
  <si>
    <t>Денвер</t>
  </si>
  <si>
    <t>Лейкерс</t>
  </si>
  <si>
    <t>106:107</t>
  </si>
  <si>
    <t>108:134</t>
  </si>
  <si>
    <t>101:93</t>
  </si>
  <si>
    <t>22.02.2014</t>
  </si>
  <si>
    <t>122:117</t>
  </si>
  <si>
    <t>Голден Стэйт</t>
  </si>
  <si>
    <t>Атланта</t>
  </si>
  <si>
    <t>12.02.2014</t>
  </si>
  <si>
    <t>106:103</t>
  </si>
  <si>
    <t>04.03.2014</t>
  </si>
  <si>
    <t>Орландо</t>
  </si>
  <si>
    <t>24.02.2014</t>
  </si>
  <si>
    <t>09.02.2014</t>
  </si>
  <si>
    <t>95:98</t>
  </si>
  <si>
    <t>Милуоки</t>
  </si>
  <si>
    <t>08.03.2014</t>
  </si>
  <si>
    <t>06.03.2014</t>
  </si>
  <si>
    <t>118:110</t>
  </si>
  <si>
    <t>20.02.2014</t>
  </si>
  <si>
    <t>11.02.2014</t>
  </si>
  <si>
    <t>103:98</t>
  </si>
  <si>
    <t>112:86</t>
  </si>
  <si>
    <t>26.02.2014</t>
  </si>
  <si>
    <t>89:101</t>
  </si>
  <si>
    <t>103:129</t>
  </si>
  <si>
    <t>112:115</t>
  </si>
  <si>
    <t>102:99</t>
  </si>
  <si>
    <t>(ОТ)</t>
  </si>
  <si>
    <t>113:112</t>
  </si>
  <si>
    <t>89:107</t>
  </si>
  <si>
    <t>95:101</t>
  </si>
  <si>
    <t>102:78</t>
  </si>
  <si>
    <t>124:80</t>
  </si>
  <si>
    <t>95:100</t>
  </si>
  <si>
    <t>108:97</t>
  </si>
  <si>
    <t>102:94</t>
  </si>
  <si>
    <t>109:111</t>
  </si>
  <si>
    <t>110:117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</si>
</sst>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_ ;[Red]\-0.0\ "/>
    <numFmt numFmtId="166" formatCode="0.00_ ;[Red]\-0.00\ "/>
  </numFmts>
  <fonts count="8">
    <font>
      <sz val="10"/>
      <color rgb="FF000000"/>
      <name val="Tahoma"/>
    </font>
    <font>
      <sz val="10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color rgb="FF000000"/>
      <name val="Tahoma"/>
      <family val="2"/>
      <charset val="204"/>
    </font>
    <font>
      <b/>
      <sz val="18"/>
      <color rgb="FF00000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8080"/>
      </patternFill>
    </fill>
    <fill>
      <patternFill patternType="solid">
        <fgColor rgb="FF339966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99CC00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5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2" borderId="3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4" xfId="0" applyFill="1" applyBorder="1"/>
    <xf numFmtId="0" fontId="0" fillId="7" borderId="3" xfId="0" applyFill="1" applyBorder="1"/>
    <xf numFmtId="9" fontId="0" fillId="0" borderId="3" xfId="0" applyNumberFormat="1" applyBorder="1"/>
    <xf numFmtId="1" fontId="0" fillId="8" borderId="3" xfId="0" applyNumberFormat="1" applyFill="1" applyBorder="1"/>
    <xf numFmtId="9" fontId="0" fillId="7" borderId="3" xfId="0" applyNumberFormat="1" applyFill="1" applyBorder="1" applyAlignment="1">
      <alignment horizontal="center"/>
    </xf>
    <xf numFmtId="9" fontId="0" fillId="7" borderId="3" xfId="0" applyNumberFormat="1" applyFill="1" applyBorder="1" applyAlignment="1">
      <alignment horizontal="center"/>
    </xf>
    <xf numFmtId="2" fontId="0" fillId="0" borderId="3" xfId="0" applyNumberFormat="1" applyBorder="1"/>
    <xf numFmtId="164" fontId="0" fillId="0" borderId="3" xfId="0" applyNumberFormat="1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3" xfId="0" applyNumberFormat="1" applyBorder="1"/>
    <xf numFmtId="0" fontId="0" fillId="0" borderId="0" xfId="0" applyBorder="1"/>
    <xf numFmtId="0" fontId="0" fillId="0" borderId="7" xfId="0" applyBorder="1"/>
    <xf numFmtId="0" fontId="0" fillId="9" borderId="3" xfId="0" applyFill="1" applyBorder="1" applyAlignment="1">
      <alignment horizontal="center" vertical="center"/>
    </xf>
    <xf numFmtId="9" fontId="0" fillId="7" borderId="3" xfId="0" applyNumberFormat="1" applyFill="1" applyBorder="1" applyAlignment="1"/>
    <xf numFmtId="0" fontId="0" fillId="9" borderId="7" xfId="0" applyFill="1" applyBorder="1" applyAlignment="1">
      <alignment horizontal="center"/>
    </xf>
    <xf numFmtId="165" fontId="0" fillId="0" borderId="7" xfId="0" applyNumberFormat="1" applyBorder="1"/>
    <xf numFmtId="9" fontId="0" fillId="0" borderId="7" xfId="0" applyNumberFormat="1" applyBorder="1"/>
    <xf numFmtId="0" fontId="3" fillId="0" borderId="0" xfId="1"/>
    <xf numFmtId="164" fontId="3" fillId="0" borderId="7" xfId="1" applyNumberFormat="1" applyBorder="1" applyAlignment="1">
      <alignment horizontal="center"/>
    </xf>
    <xf numFmtId="9" fontId="3" fillId="0" borderId="7" xfId="1" applyNumberFormat="1" applyBorder="1" applyAlignment="1">
      <alignment horizontal="center"/>
    </xf>
    <xf numFmtId="0" fontId="3" fillId="0" borderId="7" xfId="1" applyBorder="1" applyAlignment="1">
      <alignment horizontal="center"/>
    </xf>
    <xf numFmtId="0" fontId="0" fillId="0" borderId="7" xfId="0" applyBorder="1" applyAlignment="1">
      <alignment horizontal="center" vertical="center"/>
    </xf>
    <xf numFmtId="49" fontId="0" fillId="0" borderId="19" xfId="0" applyNumberFormat="1" applyBorder="1"/>
    <xf numFmtId="49" fontId="0" fillId="0" borderId="0" xfId="0" applyNumberFormat="1" applyBorder="1"/>
    <xf numFmtId="49" fontId="0" fillId="0" borderId="21" xfId="0" applyNumberFormat="1" applyBorder="1"/>
    <xf numFmtId="49" fontId="0" fillId="0" borderId="24" xfId="0" applyNumberFormat="1" applyBorder="1"/>
    <xf numFmtId="164" fontId="0" fillId="0" borderId="7" xfId="0" applyNumberFormat="1" applyBorder="1"/>
    <xf numFmtId="166" fontId="0" fillId="0" borderId="3" xfId="0" applyNumberFormat="1" applyBorder="1"/>
    <xf numFmtId="0" fontId="0" fillId="0" borderId="0" xfId="0" applyFill="1"/>
    <xf numFmtId="0" fontId="1" fillId="0" borderId="0" xfId="0" applyFont="1" applyFill="1"/>
    <xf numFmtId="0" fontId="1" fillId="0" borderId="3" xfId="0" applyFont="1" applyFill="1" applyBorder="1"/>
    <xf numFmtId="0" fontId="0" fillId="0" borderId="7" xfId="0" applyFill="1" applyBorder="1"/>
    <xf numFmtId="0" fontId="1" fillId="0" borderId="7" xfId="0" applyFont="1" applyFill="1" applyBorder="1"/>
    <xf numFmtId="1" fontId="0" fillId="0" borderId="0" xfId="0" applyNumberFormat="1" applyFill="1"/>
    <xf numFmtId="0" fontId="0" fillId="0" borderId="10" xfId="0" applyFill="1" applyBorder="1"/>
    <xf numFmtId="0" fontId="0" fillId="0" borderId="8" xfId="0" applyFill="1" applyBorder="1"/>
    <xf numFmtId="0" fontId="0" fillId="0" borderId="11" xfId="0" applyFill="1" applyBorder="1"/>
    <xf numFmtId="2" fontId="0" fillId="0" borderId="10" xfId="0" applyNumberFormat="1" applyFill="1" applyBorder="1"/>
    <xf numFmtId="2" fontId="0" fillId="0" borderId="8" xfId="0" applyNumberFormat="1" applyFill="1" applyBorder="1"/>
    <xf numFmtId="9" fontId="0" fillId="0" borderId="11" xfId="0" applyNumberFormat="1" applyFill="1" applyBorder="1"/>
    <xf numFmtId="0" fontId="0" fillId="0" borderId="12" xfId="0" applyFill="1" applyBorder="1"/>
    <xf numFmtId="0" fontId="0" fillId="0" borderId="0" xfId="0" applyFill="1" applyBorder="1"/>
    <xf numFmtId="0" fontId="0" fillId="0" borderId="13" xfId="0" applyFill="1" applyBorder="1"/>
    <xf numFmtId="2" fontId="0" fillId="0" borderId="12" xfId="0" applyNumberFormat="1" applyFill="1" applyBorder="1"/>
    <xf numFmtId="2" fontId="0" fillId="0" borderId="0" xfId="0" applyNumberFormat="1" applyFill="1" applyBorder="1"/>
    <xf numFmtId="9" fontId="0" fillId="0" borderId="13" xfId="0" applyNumberFormat="1" applyFill="1" applyBorder="1"/>
    <xf numFmtId="0" fontId="0" fillId="0" borderId="14" xfId="0" applyFill="1" applyBorder="1"/>
    <xf numFmtId="0" fontId="0" fillId="0" borderId="9" xfId="0" applyFill="1" applyBorder="1"/>
    <xf numFmtId="0" fontId="0" fillId="0" borderId="15" xfId="0" applyFill="1" applyBorder="1"/>
    <xf numFmtId="2" fontId="0" fillId="0" borderId="14" xfId="0" applyNumberFormat="1" applyFill="1" applyBorder="1"/>
    <xf numFmtId="2" fontId="0" fillId="0" borderId="9" xfId="0" applyNumberFormat="1" applyFill="1" applyBorder="1"/>
    <xf numFmtId="9" fontId="0" fillId="0" borderId="15" xfId="0" applyNumberFormat="1" applyFill="1" applyBorder="1"/>
    <xf numFmtId="49" fontId="0" fillId="0" borderId="19" xfId="0" applyNumberFormat="1" applyFill="1" applyBorder="1"/>
    <xf numFmtId="49" fontId="0" fillId="0" borderId="21" xfId="0" applyNumberFormat="1" applyFill="1" applyBorder="1"/>
    <xf numFmtId="49" fontId="0" fillId="0" borderId="24" xfId="0" applyNumberFormat="1" applyFill="1" applyBorder="1"/>
    <xf numFmtId="0" fontId="0" fillId="2" borderId="6" xfId="0" applyFill="1" applyBorder="1"/>
    <xf numFmtId="0" fontId="0" fillId="5" borderId="27" xfId="0" applyFill="1" applyBorder="1"/>
    <xf numFmtId="0" fontId="0" fillId="5" borderId="26" xfId="0" applyFill="1" applyBorder="1"/>
    <xf numFmtId="0" fontId="1" fillId="5" borderId="26" xfId="0" applyFont="1" applyFill="1" applyBorder="1"/>
    <xf numFmtId="0" fontId="0" fillId="0" borderId="7" xfId="0" applyBorder="1" applyAlignment="1">
      <alignment horizontal="center"/>
    </xf>
    <xf numFmtId="9" fontId="0" fillId="7" borderId="7" xfId="0" applyNumberForma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9" borderId="7" xfId="0" applyFill="1" applyBorder="1" applyAlignment="1">
      <alignment horizontal="center" vertical="center"/>
    </xf>
    <xf numFmtId="0" fontId="1" fillId="9" borderId="7" xfId="0" applyFont="1" applyFill="1" applyBorder="1"/>
    <xf numFmtId="49" fontId="0" fillId="0" borderId="0" xfId="0" applyNumberFormat="1" applyFill="1"/>
    <xf numFmtId="1" fontId="0" fillId="0" borderId="3" xfId="0" applyNumberFormat="1" applyFill="1" applyBorder="1"/>
    <xf numFmtId="1" fontId="0" fillId="0" borderId="6" xfId="0" applyNumberFormat="1" applyFill="1" applyBorder="1"/>
    <xf numFmtId="1" fontId="1" fillId="0" borderId="3" xfId="0" applyNumberFormat="1" applyFont="1" applyFill="1" applyBorder="1"/>
    <xf numFmtId="2" fontId="0" fillId="0" borderId="7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1" fontId="0" fillId="0" borderId="0" xfId="0" applyNumberFormat="1" applyFill="1" applyBorder="1"/>
    <xf numFmtId="1" fontId="0" fillId="0" borderId="0" xfId="6" applyNumberFormat="1" applyFont="1" applyFill="1" applyBorder="1"/>
    <xf numFmtId="9" fontId="0" fillId="0" borderId="0" xfId="0" applyNumberFormat="1" applyFill="1" applyBorder="1"/>
    <xf numFmtId="0" fontId="1" fillId="0" borderId="0" xfId="0" applyFont="1" applyFill="1" applyBorder="1"/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/>
    <xf numFmtId="14" fontId="0" fillId="0" borderId="0" xfId="0" applyNumberFormat="1" applyBorder="1"/>
    <xf numFmtId="14" fontId="0" fillId="0" borderId="0" xfId="0" applyNumberFormat="1" applyFill="1" applyBorder="1"/>
    <xf numFmtId="0" fontId="1" fillId="0" borderId="0" xfId="0" applyFont="1" applyFill="1" applyBorder="1" applyAlignment="1"/>
    <xf numFmtId="0" fontId="1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5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9" fontId="0" fillId="10" borderId="7" xfId="6" applyFont="1" applyFill="1" applyBorder="1" applyAlignment="1">
      <alignment horizontal="center"/>
    </xf>
    <xf numFmtId="9" fontId="0" fillId="10" borderId="7" xfId="6" applyFont="1" applyFill="1" applyBorder="1"/>
    <xf numFmtId="2" fontId="0" fillId="0" borderId="7" xfId="0" applyNumberFormat="1" applyBorder="1"/>
    <xf numFmtId="9" fontId="1" fillId="7" borderId="7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0" xfId="0" applyNumberFormat="1" applyBorder="1"/>
    <xf numFmtId="164" fontId="0" fillId="0" borderId="0" xfId="0" applyNumberFormat="1" applyBorder="1"/>
    <xf numFmtId="9" fontId="0" fillId="0" borderId="7" xfId="6" applyFont="1" applyBorder="1"/>
    <xf numFmtId="0" fontId="1" fillId="0" borderId="7" xfId="0" applyFont="1" applyBorder="1"/>
    <xf numFmtId="49" fontId="0" fillId="0" borderId="7" xfId="0" applyNumberFormat="1" applyBorder="1"/>
    <xf numFmtId="2" fontId="1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9" fontId="3" fillId="0" borderId="7" xfId="6" applyBorder="1" applyAlignment="1">
      <alignment horizontal="center"/>
    </xf>
    <xf numFmtId="49" fontId="0" fillId="0" borderId="2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22" xfId="0" applyNumberFormat="1" applyFill="1" applyBorder="1" applyAlignment="1">
      <alignment horizontal="center"/>
    </xf>
    <xf numFmtId="49" fontId="0" fillId="0" borderId="23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9" fontId="1" fillId="7" borderId="7" xfId="0" applyNumberFormat="1" applyFont="1" applyFill="1" applyBorder="1" applyAlignment="1"/>
    <xf numFmtId="49" fontId="1" fillId="0" borderId="7" xfId="1" applyNumberFormat="1" applyFont="1" applyBorder="1" applyAlignment="1">
      <alignment horizontal="center"/>
    </xf>
    <xf numFmtId="14" fontId="0" fillId="0" borderId="0" xfId="0" applyNumberFormat="1"/>
    <xf numFmtId="166" fontId="1" fillId="0" borderId="7" xfId="1" applyNumberFormat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3" fillId="10" borderId="30" xfId="1" applyFill="1" applyBorder="1"/>
    <xf numFmtId="0" fontId="1" fillId="10" borderId="0" xfId="1" applyFont="1" applyFill="1" applyAlignment="1">
      <alignment horizontal="center"/>
    </xf>
    <xf numFmtId="0" fontId="3" fillId="10" borderId="7" xfId="1" applyFill="1" applyBorder="1" applyAlignment="1">
      <alignment horizontal="center" vertical="center"/>
    </xf>
    <xf numFmtId="0" fontId="3" fillId="10" borderId="30" xfId="1" applyFill="1" applyBorder="1" applyAlignment="1">
      <alignment horizontal="center" vertical="center"/>
    </xf>
    <xf numFmtId="0" fontId="1" fillId="10" borderId="30" xfId="1" applyFont="1" applyFill="1" applyBorder="1" applyAlignment="1">
      <alignment horizontal="center" vertical="center"/>
    </xf>
    <xf numFmtId="0" fontId="0" fillId="10" borderId="30" xfId="1" applyFont="1" applyFill="1" applyBorder="1" applyAlignment="1">
      <alignment horizontal="center" vertical="center"/>
    </xf>
    <xf numFmtId="0" fontId="1" fillId="10" borderId="30" xfId="1" applyFont="1" applyFill="1" applyBorder="1" applyAlignment="1">
      <alignment vertical="center"/>
    </xf>
    <xf numFmtId="0" fontId="3" fillId="10" borderId="17" xfId="1" applyFill="1" applyBorder="1" applyAlignment="1">
      <alignment horizontal="center"/>
    </xf>
    <xf numFmtId="165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1" fillId="0" borderId="7" xfId="1" applyFont="1" applyFill="1" applyBorder="1" applyAlignment="1">
      <alignment horizontal="center"/>
    </xf>
    <xf numFmtId="0" fontId="1" fillId="0" borderId="7" xfId="1" applyFont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4" fontId="3" fillId="0" borderId="7" xfId="1" applyNumberFormat="1" applyFill="1" applyBorder="1" applyAlignment="1">
      <alignment horizontal="center"/>
    </xf>
    <xf numFmtId="166" fontId="1" fillId="0" borderId="7" xfId="1" applyNumberFormat="1" applyFont="1" applyFill="1" applyBorder="1" applyAlignment="1">
      <alignment horizontal="center"/>
    </xf>
    <xf numFmtId="9" fontId="3" fillId="0" borderId="7" xfId="1" applyNumberFormat="1" applyFill="1" applyBorder="1" applyAlignment="1">
      <alignment horizontal="center"/>
    </xf>
    <xf numFmtId="0" fontId="3" fillId="0" borderId="7" xfId="1" applyFill="1" applyBorder="1" applyAlignment="1">
      <alignment horizontal="center"/>
    </xf>
    <xf numFmtId="49" fontId="1" fillId="0" borderId="7" xfId="1" applyNumberFormat="1" applyFont="1" applyFill="1" applyBorder="1" applyAlignment="1">
      <alignment horizontal="center"/>
    </xf>
    <xf numFmtId="9" fontId="3" fillId="0" borderId="7" xfId="6" applyFill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3" fillId="0" borderId="7" xfId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9" borderId="7" xfId="0" applyFont="1" applyFill="1" applyBorder="1" applyAlignment="1">
      <alignment horizontal="center" vertical="center"/>
    </xf>
    <xf numFmtId="14" fontId="0" fillId="0" borderId="7" xfId="1" applyNumberFormat="1" applyFont="1" applyBorder="1" applyAlignment="1">
      <alignment horizontal="left"/>
    </xf>
    <xf numFmtId="0" fontId="3" fillId="0" borderId="7" xfId="1" applyBorder="1"/>
    <xf numFmtId="0" fontId="2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9" fontId="0" fillId="8" borderId="6" xfId="0" applyNumberFormat="1" applyFill="1" applyBorder="1" applyAlignment="1">
      <alignment horizontal="center"/>
    </xf>
    <xf numFmtId="9" fontId="0" fillId="8" borderId="5" xfId="0" applyNumberForma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6" fontId="0" fillId="8" borderId="6" xfId="0" applyNumberFormat="1" applyFill="1" applyBorder="1" applyAlignment="1">
      <alignment horizontal="center"/>
    </xf>
    <xf numFmtId="166" fontId="0" fillId="8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9" fontId="0" fillId="7" borderId="7" xfId="0" applyNumberFormat="1" applyFill="1" applyBorder="1" applyAlignment="1">
      <alignment horizontal="center"/>
    </xf>
    <xf numFmtId="0" fontId="0" fillId="0" borderId="17" xfId="0" applyBorder="1" applyAlignment="1"/>
    <xf numFmtId="0" fontId="0" fillId="0" borderId="18" xfId="0" applyBorder="1"/>
    <xf numFmtId="0" fontId="0" fillId="0" borderId="18" xfId="0" applyBorder="1" applyAlignment="1"/>
    <xf numFmtId="9" fontId="1" fillId="7" borderId="7" xfId="0" applyNumberFormat="1" applyFont="1" applyFill="1" applyBorder="1" applyAlignment="1">
      <alignment horizontal="center"/>
    </xf>
    <xf numFmtId="9" fontId="0" fillId="7" borderId="6" xfId="0" applyNumberFormat="1" applyFill="1" applyBorder="1" applyAlignment="1">
      <alignment horizontal="center"/>
    </xf>
    <xf numFmtId="9" fontId="0" fillId="7" borderId="4" xfId="0" applyNumberFormat="1" applyFill="1" applyBorder="1" applyAlignment="1">
      <alignment horizontal="center"/>
    </xf>
    <xf numFmtId="9" fontId="0" fillId="7" borderId="5" xfId="0" applyNumberFormat="1" applyFill="1" applyBorder="1" applyAlignment="1">
      <alignment horizontal="center"/>
    </xf>
    <xf numFmtId="9" fontId="1" fillId="7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9" fontId="0" fillId="7" borderId="28" xfId="0" applyNumberFormat="1" applyFill="1" applyBorder="1" applyAlignment="1">
      <alignment horizontal="center"/>
    </xf>
    <xf numFmtId="9" fontId="0" fillId="7" borderId="29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3" fillId="0" borderId="7" xfId="1" applyFill="1" applyBorder="1" applyAlignment="1">
      <alignment horizontal="center"/>
    </xf>
    <xf numFmtId="0" fontId="3" fillId="10" borderId="10" xfId="1" applyFill="1" applyBorder="1" applyAlignment="1">
      <alignment horizontal="center" vertical="center"/>
    </xf>
    <xf numFmtId="0" fontId="3" fillId="10" borderId="8" xfId="1" applyFill="1" applyBorder="1" applyAlignment="1">
      <alignment horizontal="center" vertical="center"/>
    </xf>
    <xf numFmtId="0" fontId="3" fillId="10" borderId="11" xfId="1" applyFill="1" applyBorder="1" applyAlignment="1">
      <alignment horizontal="center" vertical="center"/>
    </xf>
    <xf numFmtId="0" fontId="1" fillId="0" borderId="17" xfId="1" applyFont="1" applyBorder="1" applyAlignment="1">
      <alignment horizontal="center"/>
    </xf>
    <xf numFmtId="0" fontId="3" fillId="0" borderId="18" xfId="1" applyBorder="1" applyAlignment="1">
      <alignment horizontal="center"/>
    </xf>
    <xf numFmtId="0" fontId="3" fillId="0" borderId="17" xfId="1" applyBorder="1" applyAlignment="1">
      <alignment horizontal="center"/>
    </xf>
  </cellXfs>
  <cellStyles count="7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Процентный" xfId="6" builtinId="5"/>
    <cellStyle name="Процентный 2" xfId="5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3470419508106457"/>
          <c:y val="4.4196407267273558E-2"/>
          <c:w val="0.86509492563431156"/>
          <c:h val="0.8123471593106355"/>
        </c:manualLayout>
      </c:layout>
      <c:bar3DChart>
        <c:barDir val="col"/>
        <c:grouping val="clustered"/>
        <c:ser>
          <c:idx val="0"/>
          <c:order val="0"/>
          <c:tx>
            <c:strRef>
              <c:f>Анализ!$A$21</c:f>
              <c:strCache>
                <c:ptCount val="1"/>
                <c:pt idx="0">
                  <c:v>Хьюстон</c:v>
                </c:pt>
              </c:strCache>
            </c:strRef>
          </c:tx>
          <c:val>
            <c:numRef>
              <c:f>Анализ!$J$21</c:f>
              <c:numCache>
                <c:formatCode>0%</c:formatCode>
                <c:ptCount val="1"/>
                <c:pt idx="0">
                  <c:v>0.66071428571428581</c:v>
                </c:pt>
              </c:numCache>
            </c:numRef>
          </c:val>
        </c:ser>
        <c:ser>
          <c:idx val="1"/>
          <c:order val="1"/>
          <c:tx>
            <c:v>Ничья</c:v>
          </c:tx>
          <c:val>
            <c:numRef>
              <c:f>Анализ!$K$21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Анализ!$C$21</c:f>
              <c:strCache>
                <c:ptCount val="1"/>
                <c:pt idx="0">
                  <c:v>Портленд</c:v>
                </c:pt>
              </c:strCache>
            </c:strRef>
          </c:tx>
          <c:val>
            <c:numRef>
              <c:f>Анализ!$L$21</c:f>
              <c:numCache>
                <c:formatCode>0%</c:formatCode>
                <c:ptCount val="1"/>
                <c:pt idx="0">
                  <c:v>0.3392857142857143</c:v>
                </c:pt>
              </c:numCache>
            </c:numRef>
          </c:val>
        </c:ser>
        <c:shape val="box"/>
        <c:axId val="72051328"/>
        <c:axId val="72057216"/>
        <c:axId val="0"/>
      </c:bar3DChart>
      <c:catAx>
        <c:axId val="72051328"/>
        <c:scaling>
          <c:orientation val="minMax"/>
        </c:scaling>
        <c:delete val="1"/>
        <c:axPos val="b"/>
        <c:numFmt formatCode="General" sourceLinked="1"/>
        <c:tickLblPos val="none"/>
        <c:crossAx val="72057216"/>
        <c:crosses val="autoZero"/>
        <c:auto val="1"/>
        <c:lblAlgn val="ctr"/>
        <c:lblOffset val="100"/>
      </c:catAx>
      <c:valAx>
        <c:axId val="72057216"/>
        <c:scaling>
          <c:orientation val="minMax"/>
        </c:scaling>
        <c:axPos val="l"/>
        <c:majorGridlines/>
        <c:numFmt formatCode="0%" sourceLinked="1"/>
        <c:tickLblPos val="nextTo"/>
        <c:crossAx val="7205132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6.8160598254684526E-2"/>
          <c:y val="2.8252405949256338E-2"/>
          <c:w val="0.93183940174531543"/>
          <c:h val="0.8326195683872849"/>
        </c:manualLayout>
      </c:layout>
      <c:bar3DChart>
        <c:barDir val="col"/>
        <c:grouping val="clustered"/>
        <c:ser>
          <c:idx val="0"/>
          <c:order val="0"/>
          <c:val>
            <c:numRef>
              <c:f>Отчет!$L$2:$L$21</c:f>
              <c:numCache>
                <c:formatCode>0%</c:formatCode>
                <c:ptCount val="3"/>
                <c:pt idx="0">
                  <c:v>0.13</c:v>
                </c:pt>
                <c:pt idx="1">
                  <c:v>0.6</c:v>
                </c:pt>
                <c:pt idx="2">
                  <c:v>0.15</c:v>
                </c:pt>
              </c:numCache>
            </c:numRef>
          </c:val>
        </c:ser>
        <c:ser>
          <c:idx val="1"/>
          <c:order val="1"/>
          <c:val>
            <c:numRef>
              <c:f>Отчет!$M$2:$M$21</c:f>
              <c:numCache>
                <c:formatCode>0%</c:formatCode>
                <c:ptCount val="3"/>
                <c:pt idx="0">
                  <c:v>0.46</c:v>
                </c:pt>
                <c:pt idx="1">
                  <c:v>0.04</c:v>
                </c:pt>
                <c:pt idx="2">
                  <c:v>0.75</c:v>
                </c:pt>
              </c:numCache>
            </c:numRef>
          </c:val>
        </c:ser>
        <c:ser>
          <c:idx val="2"/>
          <c:order val="2"/>
          <c:val>
            <c:numRef>
              <c:f>Отчет!$N$2:$N$21</c:f>
              <c:numCache>
                <c:formatCode>0%</c:formatCode>
                <c:ptCount val="3"/>
                <c:pt idx="0">
                  <c:v>0.42</c:v>
                </c:pt>
                <c:pt idx="1">
                  <c:v>0.36</c:v>
                </c:pt>
                <c:pt idx="2">
                  <c:v>0.1</c:v>
                </c:pt>
              </c:numCache>
            </c:numRef>
          </c:val>
        </c:ser>
        <c:shape val="box"/>
        <c:axId val="72149248"/>
        <c:axId val="70782976"/>
        <c:axId val="0"/>
      </c:bar3DChart>
      <c:catAx>
        <c:axId val="72149248"/>
        <c:scaling>
          <c:orientation val="minMax"/>
        </c:scaling>
        <c:axPos val="b"/>
        <c:tickLblPos val="nextTo"/>
        <c:crossAx val="70782976"/>
        <c:crosses val="autoZero"/>
        <c:auto val="1"/>
        <c:lblAlgn val="ctr"/>
        <c:lblOffset val="100"/>
      </c:catAx>
      <c:valAx>
        <c:axId val="70782976"/>
        <c:scaling>
          <c:orientation val="minMax"/>
        </c:scaling>
        <c:axPos val="l"/>
        <c:majorGridlines/>
        <c:numFmt formatCode="0%" sourceLinked="1"/>
        <c:tickLblPos val="nextTo"/>
        <c:crossAx val="72149248"/>
        <c:crosses val="autoZero"/>
        <c:crossBetween val="between"/>
      </c:valAx>
    </c:plotArea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285752</xdr:colOff>
      <xdr:row>21</xdr:row>
      <xdr:rowOff>66676</xdr:rowOff>
    </xdr:from>
    <xdr:to>
      <xdr:col>17</xdr:col>
      <xdr:colOff>276225</xdr:colOff>
      <xdr:row>40</xdr:row>
      <xdr:rowOff>38101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0</xdr:row>
      <xdr:rowOff>66675</xdr:rowOff>
    </xdr:from>
    <xdr:to>
      <xdr:col>43</xdr:col>
      <xdr:colOff>123825</xdr:colOff>
      <xdr:row>17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3"/>
  <sheetViews>
    <sheetView view="pageBreakPreview" zoomScaleNormal="100" zoomScaleSheetLayoutView="100" workbookViewId="0">
      <selection activeCell="A3" sqref="A3:E14"/>
    </sheetView>
  </sheetViews>
  <sheetFormatPr defaultRowHeight="12.75"/>
  <cols>
    <col min="1" max="1" width="10.140625" style="3" bestFit="1" customWidth="1"/>
    <col min="2" max="3" width="15.5703125" style="3" bestFit="1" customWidth="1"/>
    <col min="4" max="4" width="4.7109375" style="3" bestFit="1" customWidth="1"/>
    <col min="5" max="5" width="0.85546875" customWidth="1"/>
    <col min="6" max="6" width="15.5703125" bestFit="1" customWidth="1"/>
    <col min="7" max="7" width="12.85546875" bestFit="1" customWidth="1"/>
    <col min="8" max="9" width="6.28515625" bestFit="1" customWidth="1"/>
    <col min="10" max="10" width="10.28515625" bestFit="1" customWidth="1"/>
    <col min="11" max="11" width="9.42578125" bestFit="1" customWidth="1"/>
    <col min="12" max="12" width="6.85546875" bestFit="1" customWidth="1"/>
    <col min="13" max="13" width="10.5703125" bestFit="1" customWidth="1"/>
    <col min="14" max="14" width="3.85546875" bestFit="1" customWidth="1"/>
    <col min="15" max="15" width="2" bestFit="1" customWidth="1"/>
    <col min="16" max="17" width="2.140625" bestFit="1" customWidth="1"/>
    <col min="18" max="18" width="6.85546875" bestFit="1" customWidth="1"/>
    <col min="19" max="19" width="10.5703125" bestFit="1" customWidth="1"/>
    <col min="20" max="20" width="5.140625" bestFit="1" customWidth="1"/>
    <col min="21" max="21" width="3.85546875" bestFit="1" customWidth="1"/>
    <col min="22" max="22" width="2" bestFit="1" customWidth="1"/>
    <col min="23" max="24" width="2.140625" bestFit="1" customWidth="1"/>
    <col min="25" max="25" width="6.85546875" bestFit="1" customWidth="1"/>
    <col min="26" max="26" width="10.5703125" bestFit="1" customWidth="1"/>
    <col min="27" max="27" width="5.140625" bestFit="1" customWidth="1"/>
    <col min="28" max="28" width="3.85546875" bestFit="1" customWidth="1"/>
    <col min="29" max="29" width="2" bestFit="1" customWidth="1"/>
    <col min="30" max="31" width="2.140625" bestFit="1" customWidth="1"/>
    <col min="32" max="32" width="6.85546875" bestFit="1" customWidth="1"/>
    <col min="33" max="33" width="10.5703125" bestFit="1" customWidth="1"/>
    <col min="34" max="34" width="5.140625" bestFit="1" customWidth="1"/>
    <col min="35" max="37" width="2" bestFit="1" customWidth="1"/>
    <col min="38" max="38" width="3.140625" bestFit="1" customWidth="1"/>
    <col min="39" max="41" width="2" bestFit="1" customWidth="1"/>
    <col min="42" max="42" width="3.140625" bestFit="1" customWidth="1"/>
    <col min="43" max="43" width="9.28515625" bestFit="1" customWidth="1"/>
    <col min="44" max="44" width="11" bestFit="1" customWidth="1"/>
    <col min="45" max="45" width="7.5703125" bestFit="1" customWidth="1"/>
    <col min="46" max="46" width="6.140625" bestFit="1" customWidth="1"/>
    <col min="47" max="47" width="6" bestFit="1" customWidth="1"/>
  </cols>
  <sheetData>
    <row r="1" spans="1:47">
      <c r="F1" s="41"/>
      <c r="G1" s="41"/>
      <c r="H1" s="41"/>
      <c r="I1" s="41"/>
      <c r="J1" s="41"/>
      <c r="K1" s="41"/>
      <c r="L1" s="41"/>
      <c r="M1" s="41"/>
      <c r="N1" s="168" t="s">
        <v>14</v>
      </c>
      <c r="O1" s="169"/>
      <c r="P1" s="169"/>
      <c r="Q1" s="169"/>
      <c r="R1" s="169"/>
      <c r="S1" s="169"/>
      <c r="T1" s="170"/>
      <c r="U1" s="168" t="s">
        <v>15</v>
      </c>
      <c r="V1" s="169"/>
      <c r="W1" s="169"/>
      <c r="X1" s="169"/>
      <c r="Y1" s="169"/>
      <c r="Z1" s="169"/>
      <c r="AA1" s="170"/>
      <c r="AB1" s="168" t="s">
        <v>16</v>
      </c>
      <c r="AC1" s="169"/>
      <c r="AD1" s="169"/>
      <c r="AE1" s="169"/>
      <c r="AF1" s="169"/>
      <c r="AG1" s="169"/>
      <c r="AH1" s="171"/>
      <c r="AI1" s="167" t="s">
        <v>37</v>
      </c>
      <c r="AJ1" s="167"/>
      <c r="AK1" s="167"/>
      <c r="AL1" s="167"/>
      <c r="AM1" s="167" t="s">
        <v>38</v>
      </c>
      <c r="AN1" s="167"/>
      <c r="AO1" s="167"/>
      <c r="AP1" s="167"/>
      <c r="AQ1" s="41"/>
      <c r="AR1" s="41"/>
      <c r="AS1" s="41"/>
    </row>
    <row r="2" spans="1:47" ht="18" customHeight="1" thickBot="1">
      <c r="A2" s="166" t="s">
        <v>0</v>
      </c>
      <c r="B2" s="166"/>
      <c r="C2" s="166" t="str">
        <f>IF(F3=F4,F3,IF(F3=G4,F3,G3))</f>
        <v>Хьюстон</v>
      </c>
      <c r="D2" s="166"/>
      <c r="F2" s="42" t="s">
        <v>1</v>
      </c>
      <c r="G2" s="42" t="s">
        <v>2</v>
      </c>
      <c r="H2" s="42" t="s">
        <v>3</v>
      </c>
      <c r="I2" s="42" t="s">
        <v>4</v>
      </c>
      <c r="J2" s="42" t="s">
        <v>5</v>
      </c>
      <c r="K2" s="42" t="s">
        <v>6</v>
      </c>
      <c r="L2" s="42" t="s">
        <v>7</v>
      </c>
      <c r="M2" s="42" t="s">
        <v>8</v>
      </c>
      <c r="N2" s="80" t="s">
        <v>9</v>
      </c>
      <c r="O2" s="80" t="s">
        <v>10</v>
      </c>
      <c r="P2" s="80" t="s">
        <v>11</v>
      </c>
      <c r="Q2" s="80" t="s">
        <v>12</v>
      </c>
      <c r="R2" s="80" t="s">
        <v>7</v>
      </c>
      <c r="S2" s="80" t="s">
        <v>8</v>
      </c>
      <c r="T2" s="80" t="s">
        <v>13</v>
      </c>
      <c r="U2" s="80" t="s">
        <v>9</v>
      </c>
      <c r="V2" s="80" t="s">
        <v>10</v>
      </c>
      <c r="W2" s="80" t="s">
        <v>11</v>
      </c>
      <c r="X2" s="80" t="s">
        <v>12</v>
      </c>
      <c r="Y2" s="80" t="s">
        <v>7</v>
      </c>
      <c r="Z2" s="80" t="s">
        <v>8</v>
      </c>
      <c r="AA2" s="80" t="s">
        <v>13</v>
      </c>
      <c r="AB2" s="80" t="s">
        <v>9</v>
      </c>
      <c r="AC2" s="80" t="s">
        <v>10</v>
      </c>
      <c r="AD2" s="80" t="s">
        <v>11</v>
      </c>
      <c r="AE2" s="80" t="s">
        <v>12</v>
      </c>
      <c r="AF2" s="80" t="s">
        <v>7</v>
      </c>
      <c r="AG2" s="80" t="s">
        <v>8</v>
      </c>
      <c r="AH2" s="80" t="s">
        <v>13</v>
      </c>
      <c r="AI2" s="44">
        <v>0</v>
      </c>
      <c r="AJ2" s="44">
        <v>1</v>
      </c>
      <c r="AK2" s="44">
        <v>2</v>
      </c>
      <c r="AL2" s="44" t="s">
        <v>36</v>
      </c>
      <c r="AM2" s="44">
        <v>0</v>
      </c>
      <c r="AN2" s="44">
        <v>1</v>
      </c>
      <c r="AO2" s="44">
        <v>2</v>
      </c>
      <c r="AP2" s="44" t="s">
        <v>36</v>
      </c>
      <c r="AQ2" s="45" t="s">
        <v>20</v>
      </c>
      <c r="AR2" s="45" t="s">
        <v>21</v>
      </c>
      <c r="AS2" s="45" t="s">
        <v>24</v>
      </c>
      <c r="AT2" s="116" t="s">
        <v>60</v>
      </c>
      <c r="AU2" s="24" t="s">
        <v>42</v>
      </c>
    </row>
    <row r="3" spans="1:47">
      <c r="A3" s="136">
        <v>41706</v>
      </c>
      <c r="B3" s="136" t="s">
        <v>209</v>
      </c>
      <c r="C3" s="136" t="s">
        <v>210</v>
      </c>
      <c r="D3" s="136" t="s">
        <v>245</v>
      </c>
      <c r="E3" s="35"/>
      <c r="F3" s="77" t="str">
        <f t="shared" ref="F3:F22" si="0">B3</f>
        <v>Хьюстон</v>
      </c>
      <c r="G3" s="77" t="str">
        <f t="shared" ref="G3:G22" si="1">C3</f>
        <v>Индиана</v>
      </c>
      <c r="H3" s="46">
        <f>VALUE(LEFT(D3,FIND(":",D3,1)-1))</f>
        <v>112</v>
      </c>
      <c r="I3" s="46">
        <f>VALUE(LEFT(RIGHT(D3,LEN(D3)-FIND(":",D3,1)),3))</f>
        <v>86</v>
      </c>
      <c r="J3" s="41" t="str">
        <f t="shared" ref="J3:J22" si="2">IF(F3=$C$2,"Дома","В гостях")</f>
        <v>Дома</v>
      </c>
      <c r="K3" s="41" t="str">
        <f t="shared" ref="K3:K22" si="3">IF(J3="Дома",IF(H3&gt;I3,"В",IF(H3=I3,"Н","П")),IF(H3&lt;I3,"В",IF(H3=I3,"Н","П")))</f>
        <v>В</v>
      </c>
      <c r="L3" s="46">
        <f t="shared" ref="L3:L22" si="4">IF(J3="Дома",H3,I3)</f>
        <v>112</v>
      </c>
      <c r="M3" s="46">
        <f t="shared" ref="M3:M22" si="5">IF(J3="Дома",I3,H3)</f>
        <v>86</v>
      </c>
      <c r="N3" s="78">
        <v>1</v>
      </c>
      <c r="O3" s="78">
        <f>IF(K3="В",1,0)</f>
        <v>1</v>
      </c>
      <c r="P3" s="78">
        <f>IF(K3="Н",1,0)</f>
        <v>0</v>
      </c>
      <c r="Q3" s="78">
        <f>IF(K3="П",1,0)</f>
        <v>0</v>
      </c>
      <c r="R3" s="78">
        <f>L3</f>
        <v>112</v>
      </c>
      <c r="S3" s="78">
        <f>M3</f>
        <v>86</v>
      </c>
      <c r="T3" s="78">
        <f t="shared" ref="T3:T22" si="6">O3*3+P3</f>
        <v>3</v>
      </c>
      <c r="U3" s="78">
        <f>IF(J3="Дома",1,0)</f>
        <v>1</v>
      </c>
      <c r="V3" s="78">
        <f>IF(J3="Дома",IF(K3="В",1,0),0)</f>
        <v>1</v>
      </c>
      <c r="W3" s="78">
        <f>IF(J3="Дома",IF(K3="Н",1,0),0)</f>
        <v>0</v>
      </c>
      <c r="X3" s="78">
        <f>IF(J3="Дома",IF(K3="П",1,0),0)</f>
        <v>0</v>
      </c>
      <c r="Y3" s="78">
        <f>IF(J3="Дома",L3,0)</f>
        <v>112</v>
      </c>
      <c r="Z3" s="78">
        <f>IF(J3="Дома",M3,0)</f>
        <v>86</v>
      </c>
      <c r="AA3" s="78">
        <f t="shared" ref="AA3:AA22" si="7">V3*3+W3</f>
        <v>3</v>
      </c>
      <c r="AB3" s="78">
        <f>IF(J3&lt;&gt;"Дома",1,0)</f>
        <v>0</v>
      </c>
      <c r="AC3" s="78">
        <f>IF(J3&lt;&gt;"Дома",IF(K3="В",1,0),0)</f>
        <v>0</v>
      </c>
      <c r="AD3" s="78">
        <f>IF(J3&lt;&gt;"Дома",IF(K3="Н",1,0),0)</f>
        <v>0</v>
      </c>
      <c r="AE3" s="78">
        <f>IF(J3&lt;&gt;"Дома",IF(K3="П",1,0),0)</f>
        <v>0</v>
      </c>
      <c r="AF3" s="78">
        <f>IF(J3&lt;&gt;"Дома",L3,0)</f>
        <v>0</v>
      </c>
      <c r="AG3" s="78">
        <f>IF(J3&lt;&gt;"Дома",M3,0)</f>
        <v>0</v>
      </c>
      <c r="AH3" s="79">
        <f t="shared" ref="AH3:AH22" si="8">AC3*3+AD3</f>
        <v>0</v>
      </c>
      <c r="AI3" s="47">
        <f>IF(J3="Дома",IF(L3=0,1,0),0)</f>
        <v>0</v>
      </c>
      <c r="AJ3" s="48">
        <f>IF(J3="Дома",IF(L3=1,1,0),0)</f>
        <v>0</v>
      </c>
      <c r="AK3" s="48">
        <f>IF(J3="Дома",IF(L3=2,1,0),0)</f>
        <v>0</v>
      </c>
      <c r="AL3" s="48">
        <f>IF(J3="Дома",IF(L3&gt;=3,1,0),0)</f>
        <v>1</v>
      </c>
      <c r="AM3" s="48">
        <f>IF(J3&lt;&gt;"Дома",IF(L3=0,1,0),0)</f>
        <v>0</v>
      </c>
      <c r="AN3" s="48">
        <f>IF(J3&lt;&gt;"Дома",IF(L3=1,1,0),0)</f>
        <v>0</v>
      </c>
      <c r="AO3" s="48">
        <f>IF(J3&lt;&gt;"Дома",IF(L3=2,1,0),0)</f>
        <v>0</v>
      </c>
      <c r="AP3" s="49">
        <f>IF(J3&lt;&gt;"Дома",IF(L3&gt;=3,1,0),0)</f>
        <v>0</v>
      </c>
      <c r="AQ3" s="50">
        <f t="shared" ref="AQ3:AQ22" si="9">R3/N3</f>
        <v>112</v>
      </c>
      <c r="AR3" s="51">
        <f t="shared" ref="AR3:AR22" si="10">S3/N3</f>
        <v>86</v>
      </c>
      <c r="AS3" s="52">
        <f>(AA3/IF(U3&lt;1,1,U3)+AH3/IF(AB3&lt;1,1,AB3)*1.5+Y3/IF(U3&lt;1,1,U3)+AF3/IF(AB3&lt;1,1,AB3)*1.5-Z3/IF(U3&lt;1,1,U3)*1.5-AG3/IF(AB3&lt;1,1,AB3))/15</f>
        <v>-0.93333333333333335</v>
      </c>
      <c r="AT3" s="117" t="str">
        <f t="shared" ref="AT3:AT22" si="11">IF(J3="Дома",IF(K3="В","В",IF(K3="Н","Н","П")),"")</f>
        <v>В</v>
      </c>
      <c r="AU3" s="24">
        <f t="shared" ref="AU3:AU12" si="12">IF(J3="Дома",L3+M3,"")</f>
        <v>198</v>
      </c>
    </row>
    <row r="4" spans="1:47">
      <c r="A4" s="136">
        <v>41704</v>
      </c>
      <c r="B4" s="136" t="s">
        <v>234</v>
      </c>
      <c r="C4" s="136" t="s">
        <v>209</v>
      </c>
      <c r="D4" s="136" t="s">
        <v>247</v>
      </c>
      <c r="E4" s="37"/>
      <c r="F4" s="77" t="str">
        <f t="shared" si="0"/>
        <v>Орландо</v>
      </c>
      <c r="G4" s="77" t="str">
        <f t="shared" si="1"/>
        <v>Хьюстон</v>
      </c>
      <c r="H4" s="46">
        <f t="shared" ref="H4:H22" si="13">VALUE(LEFT(D4,FIND(":",D4,1)-1))</f>
        <v>89</v>
      </c>
      <c r="I4" s="46">
        <f t="shared" ref="I4:I12" si="14">VALUE(LEFT(RIGHT(D4,LEN(D4)-FIND(":",D4,1)),3))</f>
        <v>101</v>
      </c>
      <c r="J4" s="41" t="str">
        <f t="shared" si="2"/>
        <v>В гостях</v>
      </c>
      <c r="K4" s="41" t="str">
        <f t="shared" si="3"/>
        <v>В</v>
      </c>
      <c r="L4" s="46">
        <f t="shared" si="4"/>
        <v>101</v>
      </c>
      <c r="M4" s="46">
        <f t="shared" si="5"/>
        <v>89</v>
      </c>
      <c r="N4" s="78">
        <f t="shared" ref="N4:N22" si="15">N3+1</f>
        <v>2</v>
      </c>
      <c r="O4" s="78">
        <f t="shared" ref="O4:O22" si="16">IF(K4="В",O3+1,O3+0)</f>
        <v>2</v>
      </c>
      <c r="P4" s="78">
        <f t="shared" ref="P4:P22" si="17">IF(K4="Н",P3+1,P3+0)</f>
        <v>0</v>
      </c>
      <c r="Q4" s="78">
        <f t="shared" ref="Q4:Q22" si="18">IF(K4="П",Q3+1,Q3+0)</f>
        <v>0</v>
      </c>
      <c r="R4" s="78">
        <f t="shared" ref="R4:R22" si="19">L4+R3</f>
        <v>213</v>
      </c>
      <c r="S4" s="78">
        <f t="shared" ref="S4:S22" si="20">M4+S3</f>
        <v>175</v>
      </c>
      <c r="T4" s="78">
        <f t="shared" si="6"/>
        <v>6</v>
      </c>
      <c r="U4" s="78">
        <f t="shared" ref="U4:U22" si="21">IF(J4="Дома",U3+1,U3+0)</f>
        <v>1</v>
      </c>
      <c r="V4" s="78">
        <f t="shared" ref="V4:V22" si="22">IF(J4="Дома",IF(K4="В",V3+1,V3+0),V3+0)</f>
        <v>1</v>
      </c>
      <c r="W4" s="78">
        <f t="shared" ref="W4:W22" si="23">IF(J4="Дома",IF(K4="Н",W3+1,W3+0),W3+0)</f>
        <v>0</v>
      </c>
      <c r="X4" s="78">
        <f t="shared" ref="X4:X22" si="24">IF(J4="Дома",IF(K4="П",X3+1,X3+0),X3+0)</f>
        <v>0</v>
      </c>
      <c r="Y4" s="78">
        <f t="shared" ref="Y4:Y22" si="25">IF(J4="Дома",Y3+L4,Y3+0)</f>
        <v>112</v>
      </c>
      <c r="Z4" s="78">
        <f t="shared" ref="Z4:Z22" si="26">IF(J4="Дома",Z3+M4,Z3+0)</f>
        <v>86</v>
      </c>
      <c r="AA4" s="78">
        <f t="shared" si="7"/>
        <v>3</v>
      </c>
      <c r="AB4" s="78">
        <f t="shared" ref="AB4:AB22" si="27">IF(J4&lt;&gt;"Дома",AB3+1,AB3+0)</f>
        <v>1</v>
      </c>
      <c r="AC4" s="78">
        <f t="shared" ref="AC4:AC22" si="28">IF(J4&lt;&gt;"Дома",IF(K4="В",AC3+1,AC3+0),AC3+0)</f>
        <v>1</v>
      </c>
      <c r="AD4" s="78">
        <f t="shared" ref="AD4:AD22" si="29">IF(J4&lt;&gt;"Дома",IF(K4="Н",AD3+1,AD3+0),AD3+0)</f>
        <v>0</v>
      </c>
      <c r="AE4" s="78">
        <f t="shared" ref="AE4:AE22" si="30">IF(J4&lt;&gt;"Дома",IF(K4="П",AE3+1,AE3+0),AE3+0)</f>
        <v>0</v>
      </c>
      <c r="AF4" s="78">
        <f t="shared" ref="AF4:AF22" si="31">IF(J4&lt;&gt;"Дома",AF3+L4,AF3+0)</f>
        <v>101</v>
      </c>
      <c r="AG4" s="78">
        <f t="shared" ref="AG4:AG22" si="32">IF(J4&lt;&gt;"Дома",AG3+M4,AG3+0)</f>
        <v>89</v>
      </c>
      <c r="AH4" s="79">
        <f t="shared" si="8"/>
        <v>3</v>
      </c>
      <c r="AI4" s="53">
        <f t="shared" ref="AI4:AI22" si="33">IF(J4="Дома",IF(L4=0,AI3+1,AI3),AI3)</f>
        <v>0</v>
      </c>
      <c r="AJ4" s="54">
        <f t="shared" ref="AJ4:AJ22" si="34">IF(J4="Дома",IF(L4=1,AJ3+1,AJ3),AJ3)</f>
        <v>0</v>
      </c>
      <c r="AK4" s="54">
        <f t="shared" ref="AK4:AK22" si="35">IF(J4="Дома",IF(L4=2,AK3+1,AK3),AK3)</f>
        <v>0</v>
      </c>
      <c r="AL4" s="54">
        <f t="shared" ref="AL4:AL22" si="36">IF(J4="Дома",IF(L4&gt;=3,AL3+1,AL3),AL3)</f>
        <v>1</v>
      </c>
      <c r="AM4" s="54">
        <f t="shared" ref="AM4:AM22" si="37">IF(J4&lt;&gt;"Дома",IF(L4=0,AM3+1,AM3),AM3)</f>
        <v>0</v>
      </c>
      <c r="AN4" s="54">
        <f t="shared" ref="AN4:AN22" si="38">IF(J4&lt;&gt;"Дома",IF(L4=1,AN3+1,AN3),AN3)</f>
        <v>0</v>
      </c>
      <c r="AO4" s="54">
        <f t="shared" ref="AO4:AO22" si="39">IF(J4&lt;&gt;"Дома",IF(L4=2,AO3+1,AO3),AO3)</f>
        <v>0</v>
      </c>
      <c r="AP4" s="55">
        <f t="shared" ref="AP4:AP22" si="40">IF(J4&lt;&gt;"Дома",IF(L4&gt;=3,AP3+1,AP3),AP3)</f>
        <v>1</v>
      </c>
      <c r="AQ4" s="56">
        <f t="shared" si="9"/>
        <v>106.5</v>
      </c>
      <c r="AR4" s="57">
        <f t="shared" si="10"/>
        <v>87.5</v>
      </c>
      <c r="AS4" s="58">
        <f>(AA4/IF(U4&lt;1,1,U4)+AH4/IF(AB4&lt;1,1,AB4)*1.5+Y4/IF(U4&lt;1,1,U4)+AF4/IF(AB4&lt;1,1,AB4)*1.5-Z4/IF(U4&lt;1,1,U4)*1.5-AG4/IF(AB4&lt;1,1,AB4))/15</f>
        <v>3.5333333333333332</v>
      </c>
      <c r="AT4" s="117" t="str">
        <f t="shared" si="11"/>
        <v/>
      </c>
      <c r="AU4" s="24" t="str">
        <f t="shared" si="12"/>
        <v/>
      </c>
    </row>
    <row r="5" spans="1:47">
      <c r="A5" s="136">
        <v>41703</v>
      </c>
      <c r="B5" s="136" t="s">
        <v>209</v>
      </c>
      <c r="C5" s="136" t="s">
        <v>213</v>
      </c>
      <c r="D5" s="136" t="s">
        <v>232</v>
      </c>
      <c r="E5" s="37"/>
      <c r="F5" s="77" t="str">
        <f t="shared" si="0"/>
        <v>Хьюстон</v>
      </c>
      <c r="G5" s="77" t="str">
        <f t="shared" si="1"/>
        <v>Майами</v>
      </c>
      <c r="H5" s="46">
        <f t="shared" si="13"/>
        <v>106</v>
      </c>
      <c r="I5" s="46">
        <f t="shared" si="14"/>
        <v>103</v>
      </c>
      <c r="J5" s="41" t="str">
        <f t="shared" si="2"/>
        <v>Дома</v>
      </c>
      <c r="K5" s="41" t="str">
        <f t="shared" si="3"/>
        <v>В</v>
      </c>
      <c r="L5" s="46">
        <f t="shared" si="4"/>
        <v>106</v>
      </c>
      <c r="M5" s="46">
        <f t="shared" si="5"/>
        <v>103</v>
      </c>
      <c r="N5" s="78">
        <f t="shared" si="15"/>
        <v>3</v>
      </c>
      <c r="O5" s="78">
        <f t="shared" si="16"/>
        <v>3</v>
      </c>
      <c r="P5" s="78">
        <f t="shared" si="17"/>
        <v>0</v>
      </c>
      <c r="Q5" s="78">
        <f t="shared" si="18"/>
        <v>0</v>
      </c>
      <c r="R5" s="78">
        <f t="shared" si="19"/>
        <v>319</v>
      </c>
      <c r="S5" s="78">
        <f t="shared" si="20"/>
        <v>278</v>
      </c>
      <c r="T5" s="78">
        <f t="shared" si="6"/>
        <v>9</v>
      </c>
      <c r="U5" s="78">
        <f t="shared" si="21"/>
        <v>2</v>
      </c>
      <c r="V5" s="78">
        <f t="shared" si="22"/>
        <v>2</v>
      </c>
      <c r="W5" s="78">
        <f t="shared" si="23"/>
        <v>0</v>
      </c>
      <c r="X5" s="78">
        <f t="shared" si="24"/>
        <v>0</v>
      </c>
      <c r="Y5" s="78">
        <f t="shared" si="25"/>
        <v>218</v>
      </c>
      <c r="Z5" s="78">
        <f t="shared" si="26"/>
        <v>189</v>
      </c>
      <c r="AA5" s="78">
        <f t="shared" si="7"/>
        <v>6</v>
      </c>
      <c r="AB5" s="78">
        <f t="shared" si="27"/>
        <v>1</v>
      </c>
      <c r="AC5" s="78">
        <f t="shared" si="28"/>
        <v>1</v>
      </c>
      <c r="AD5" s="78">
        <f t="shared" si="29"/>
        <v>0</v>
      </c>
      <c r="AE5" s="78">
        <f t="shared" si="30"/>
        <v>0</v>
      </c>
      <c r="AF5" s="78">
        <f t="shared" si="31"/>
        <v>101</v>
      </c>
      <c r="AG5" s="78">
        <f t="shared" si="32"/>
        <v>89</v>
      </c>
      <c r="AH5" s="79">
        <f t="shared" si="8"/>
        <v>3</v>
      </c>
      <c r="AI5" s="53">
        <f t="shared" si="33"/>
        <v>0</v>
      </c>
      <c r="AJ5" s="54">
        <f t="shared" si="34"/>
        <v>0</v>
      </c>
      <c r="AK5" s="54">
        <f t="shared" si="35"/>
        <v>0</v>
      </c>
      <c r="AL5" s="54">
        <f t="shared" si="36"/>
        <v>2</v>
      </c>
      <c r="AM5" s="54">
        <f t="shared" si="37"/>
        <v>0</v>
      </c>
      <c r="AN5" s="54">
        <f t="shared" si="38"/>
        <v>0</v>
      </c>
      <c r="AO5" s="54">
        <f t="shared" si="39"/>
        <v>0</v>
      </c>
      <c r="AP5" s="55">
        <f t="shared" si="40"/>
        <v>1</v>
      </c>
      <c r="AQ5" s="56">
        <f t="shared" si="9"/>
        <v>106.33333333333333</v>
      </c>
      <c r="AR5" s="57">
        <f t="shared" si="10"/>
        <v>92.666666666666671</v>
      </c>
      <c r="AS5" s="58">
        <f t="shared" ref="AS5:AS22" si="41">(AA5/IF(U5&lt;1,1,U5)+AH5/IF(AB5&lt;1,1,AB5)*1.5+Y5/IF(U5&lt;1,1,U5)+AF5/IF(AB5&lt;1,1,AB5)*1.5-Z5/IF(U5&lt;1,1,U5)*1.5-AG5/IF(AB5&lt;1,1,AB5))/15</f>
        <v>2.4833333333333334</v>
      </c>
      <c r="AT5" s="117" t="str">
        <f t="shared" si="11"/>
        <v>В</v>
      </c>
      <c r="AU5" s="24">
        <f t="shared" si="12"/>
        <v>209</v>
      </c>
    </row>
    <row r="6" spans="1:47">
      <c r="A6" s="136">
        <v>41700</v>
      </c>
      <c r="B6" s="136" t="s">
        <v>209</v>
      </c>
      <c r="C6" s="136" t="s">
        <v>111</v>
      </c>
      <c r="D6" s="136" t="s">
        <v>241</v>
      </c>
      <c r="E6" s="37"/>
      <c r="F6" s="77" t="str">
        <f t="shared" si="0"/>
        <v>Хьюстон</v>
      </c>
      <c r="G6" s="77" t="str">
        <f t="shared" si="1"/>
        <v>Детройт</v>
      </c>
      <c r="H6" s="46">
        <f t="shared" si="13"/>
        <v>118</v>
      </c>
      <c r="I6" s="46">
        <f t="shared" si="14"/>
        <v>110</v>
      </c>
      <c r="J6" s="41" t="str">
        <f t="shared" si="2"/>
        <v>Дома</v>
      </c>
      <c r="K6" s="41" t="str">
        <f t="shared" si="3"/>
        <v>В</v>
      </c>
      <c r="L6" s="46">
        <f t="shared" si="4"/>
        <v>118</v>
      </c>
      <c r="M6" s="46">
        <f t="shared" si="5"/>
        <v>110</v>
      </c>
      <c r="N6" s="78">
        <f t="shared" si="15"/>
        <v>4</v>
      </c>
      <c r="O6" s="78">
        <f t="shared" si="16"/>
        <v>4</v>
      </c>
      <c r="P6" s="78">
        <f t="shared" si="17"/>
        <v>0</v>
      </c>
      <c r="Q6" s="78">
        <f t="shared" si="18"/>
        <v>0</v>
      </c>
      <c r="R6" s="78">
        <f t="shared" si="19"/>
        <v>437</v>
      </c>
      <c r="S6" s="78">
        <f t="shared" si="20"/>
        <v>388</v>
      </c>
      <c r="T6" s="78">
        <f t="shared" si="6"/>
        <v>12</v>
      </c>
      <c r="U6" s="78">
        <f t="shared" si="21"/>
        <v>3</v>
      </c>
      <c r="V6" s="78">
        <f t="shared" si="22"/>
        <v>3</v>
      </c>
      <c r="W6" s="78">
        <f t="shared" si="23"/>
        <v>0</v>
      </c>
      <c r="X6" s="78">
        <f t="shared" si="24"/>
        <v>0</v>
      </c>
      <c r="Y6" s="78">
        <f t="shared" si="25"/>
        <v>336</v>
      </c>
      <c r="Z6" s="78">
        <f t="shared" si="26"/>
        <v>299</v>
      </c>
      <c r="AA6" s="78">
        <f t="shared" si="7"/>
        <v>9</v>
      </c>
      <c r="AB6" s="78">
        <f t="shared" si="27"/>
        <v>1</v>
      </c>
      <c r="AC6" s="78">
        <f t="shared" si="28"/>
        <v>1</v>
      </c>
      <c r="AD6" s="78">
        <f t="shared" si="29"/>
        <v>0</v>
      </c>
      <c r="AE6" s="78">
        <f t="shared" si="30"/>
        <v>0</v>
      </c>
      <c r="AF6" s="78">
        <f t="shared" si="31"/>
        <v>101</v>
      </c>
      <c r="AG6" s="78">
        <f t="shared" si="32"/>
        <v>89</v>
      </c>
      <c r="AH6" s="79">
        <f t="shared" si="8"/>
        <v>3</v>
      </c>
      <c r="AI6" s="53">
        <f t="shared" si="33"/>
        <v>0</v>
      </c>
      <c r="AJ6" s="54">
        <f t="shared" si="34"/>
        <v>0</v>
      </c>
      <c r="AK6" s="54">
        <f t="shared" si="35"/>
        <v>0</v>
      </c>
      <c r="AL6" s="54">
        <f t="shared" si="36"/>
        <v>3</v>
      </c>
      <c r="AM6" s="54">
        <f t="shared" si="37"/>
        <v>0</v>
      </c>
      <c r="AN6" s="54">
        <f t="shared" si="38"/>
        <v>0</v>
      </c>
      <c r="AO6" s="54">
        <f t="shared" si="39"/>
        <v>0</v>
      </c>
      <c r="AP6" s="55">
        <f t="shared" si="40"/>
        <v>1</v>
      </c>
      <c r="AQ6" s="56">
        <f t="shared" si="9"/>
        <v>109.25</v>
      </c>
      <c r="AR6" s="57">
        <f t="shared" si="10"/>
        <v>97</v>
      </c>
      <c r="AS6" s="58">
        <f t="shared" si="41"/>
        <v>2.1666666666666665</v>
      </c>
      <c r="AT6" s="117" t="str">
        <f t="shared" si="11"/>
        <v>В</v>
      </c>
      <c r="AU6" s="24">
        <f t="shared" si="12"/>
        <v>228</v>
      </c>
    </row>
    <row r="7" spans="1:47">
      <c r="A7" s="136">
        <v>41697</v>
      </c>
      <c r="B7" s="136" t="s">
        <v>217</v>
      </c>
      <c r="C7" s="136" t="s">
        <v>209</v>
      </c>
      <c r="D7" s="136" t="s">
        <v>226</v>
      </c>
      <c r="E7" s="37"/>
      <c r="F7" s="77" t="str">
        <f t="shared" si="0"/>
        <v>Клипперс</v>
      </c>
      <c r="G7" s="77" t="str">
        <f t="shared" si="1"/>
        <v>Хьюстон</v>
      </c>
      <c r="H7" s="46">
        <f t="shared" si="13"/>
        <v>101</v>
      </c>
      <c r="I7" s="46">
        <f t="shared" si="14"/>
        <v>93</v>
      </c>
      <c r="J7" s="41" t="str">
        <f t="shared" si="2"/>
        <v>В гостях</v>
      </c>
      <c r="K7" s="41" t="str">
        <f t="shared" si="3"/>
        <v>П</v>
      </c>
      <c r="L7" s="46">
        <f t="shared" si="4"/>
        <v>93</v>
      </c>
      <c r="M7" s="46">
        <f t="shared" si="5"/>
        <v>101</v>
      </c>
      <c r="N7" s="78">
        <f t="shared" si="15"/>
        <v>5</v>
      </c>
      <c r="O7" s="78">
        <f t="shared" si="16"/>
        <v>4</v>
      </c>
      <c r="P7" s="78">
        <f t="shared" si="17"/>
        <v>0</v>
      </c>
      <c r="Q7" s="78">
        <f t="shared" si="18"/>
        <v>1</v>
      </c>
      <c r="R7" s="78">
        <f t="shared" si="19"/>
        <v>530</v>
      </c>
      <c r="S7" s="78">
        <f t="shared" si="20"/>
        <v>489</v>
      </c>
      <c r="T7" s="78">
        <f t="shared" si="6"/>
        <v>12</v>
      </c>
      <c r="U7" s="78">
        <f t="shared" si="21"/>
        <v>3</v>
      </c>
      <c r="V7" s="78">
        <f t="shared" si="22"/>
        <v>3</v>
      </c>
      <c r="W7" s="78">
        <f t="shared" si="23"/>
        <v>0</v>
      </c>
      <c r="X7" s="78">
        <f t="shared" si="24"/>
        <v>0</v>
      </c>
      <c r="Y7" s="78">
        <f t="shared" si="25"/>
        <v>336</v>
      </c>
      <c r="Z7" s="78">
        <f t="shared" si="26"/>
        <v>299</v>
      </c>
      <c r="AA7" s="78">
        <f t="shared" si="7"/>
        <v>9</v>
      </c>
      <c r="AB7" s="78">
        <f t="shared" si="27"/>
        <v>2</v>
      </c>
      <c r="AC7" s="78">
        <f t="shared" si="28"/>
        <v>1</v>
      </c>
      <c r="AD7" s="78">
        <f t="shared" si="29"/>
        <v>0</v>
      </c>
      <c r="AE7" s="78">
        <f t="shared" si="30"/>
        <v>1</v>
      </c>
      <c r="AF7" s="78">
        <f t="shared" si="31"/>
        <v>194</v>
      </c>
      <c r="AG7" s="78">
        <f t="shared" si="32"/>
        <v>190</v>
      </c>
      <c r="AH7" s="79">
        <f t="shared" si="8"/>
        <v>3</v>
      </c>
      <c r="AI7" s="53">
        <f t="shared" si="33"/>
        <v>0</v>
      </c>
      <c r="AJ7" s="54">
        <f t="shared" si="34"/>
        <v>0</v>
      </c>
      <c r="AK7" s="54">
        <f t="shared" si="35"/>
        <v>0</v>
      </c>
      <c r="AL7" s="54">
        <f t="shared" si="36"/>
        <v>3</v>
      </c>
      <c r="AM7" s="54">
        <f t="shared" si="37"/>
        <v>0</v>
      </c>
      <c r="AN7" s="54">
        <f t="shared" si="38"/>
        <v>0</v>
      </c>
      <c r="AO7" s="54">
        <f t="shared" si="39"/>
        <v>0</v>
      </c>
      <c r="AP7" s="55">
        <f t="shared" si="40"/>
        <v>2</v>
      </c>
      <c r="AQ7" s="56">
        <f t="shared" si="9"/>
        <v>106</v>
      </c>
      <c r="AR7" s="57">
        <f t="shared" si="10"/>
        <v>97.8</v>
      </c>
      <c r="AS7" s="58">
        <f t="shared" si="41"/>
        <v>1.2166666666666666</v>
      </c>
      <c r="AT7" s="117" t="str">
        <f t="shared" si="11"/>
        <v/>
      </c>
      <c r="AU7" s="24" t="str">
        <f t="shared" si="12"/>
        <v/>
      </c>
    </row>
    <row r="8" spans="1:47">
      <c r="A8" s="136">
        <v>41696</v>
      </c>
      <c r="B8" s="136" t="s">
        <v>214</v>
      </c>
      <c r="C8" s="136" t="s">
        <v>209</v>
      </c>
      <c r="D8" s="136" t="s">
        <v>248</v>
      </c>
      <c r="E8" s="37"/>
      <c r="F8" s="77" t="str">
        <f t="shared" si="0"/>
        <v>Сакраменто</v>
      </c>
      <c r="G8" s="77" t="str">
        <f t="shared" si="1"/>
        <v>Хьюстон</v>
      </c>
      <c r="H8" s="46">
        <f t="shared" si="13"/>
        <v>103</v>
      </c>
      <c r="I8" s="46">
        <f t="shared" si="14"/>
        <v>129</v>
      </c>
      <c r="J8" s="41" t="str">
        <f t="shared" si="2"/>
        <v>В гостях</v>
      </c>
      <c r="K8" s="41" t="str">
        <f t="shared" si="3"/>
        <v>В</v>
      </c>
      <c r="L8" s="46">
        <f t="shared" si="4"/>
        <v>129</v>
      </c>
      <c r="M8" s="46">
        <f t="shared" si="5"/>
        <v>103</v>
      </c>
      <c r="N8" s="78">
        <f t="shared" si="15"/>
        <v>6</v>
      </c>
      <c r="O8" s="78">
        <f t="shared" si="16"/>
        <v>5</v>
      </c>
      <c r="P8" s="78">
        <f t="shared" si="17"/>
        <v>0</v>
      </c>
      <c r="Q8" s="78">
        <f t="shared" si="18"/>
        <v>1</v>
      </c>
      <c r="R8" s="78">
        <f t="shared" si="19"/>
        <v>659</v>
      </c>
      <c r="S8" s="78">
        <f t="shared" si="20"/>
        <v>592</v>
      </c>
      <c r="T8" s="78">
        <f t="shared" si="6"/>
        <v>15</v>
      </c>
      <c r="U8" s="78">
        <f t="shared" si="21"/>
        <v>3</v>
      </c>
      <c r="V8" s="78">
        <f t="shared" si="22"/>
        <v>3</v>
      </c>
      <c r="W8" s="78">
        <f t="shared" si="23"/>
        <v>0</v>
      </c>
      <c r="X8" s="78">
        <f t="shared" si="24"/>
        <v>0</v>
      </c>
      <c r="Y8" s="78">
        <f t="shared" si="25"/>
        <v>336</v>
      </c>
      <c r="Z8" s="78">
        <f t="shared" si="26"/>
        <v>299</v>
      </c>
      <c r="AA8" s="78">
        <f t="shared" si="7"/>
        <v>9</v>
      </c>
      <c r="AB8" s="78">
        <f t="shared" si="27"/>
        <v>3</v>
      </c>
      <c r="AC8" s="78">
        <f t="shared" si="28"/>
        <v>2</v>
      </c>
      <c r="AD8" s="78">
        <f t="shared" si="29"/>
        <v>0</v>
      </c>
      <c r="AE8" s="78">
        <f t="shared" si="30"/>
        <v>1</v>
      </c>
      <c r="AF8" s="78">
        <f t="shared" si="31"/>
        <v>323</v>
      </c>
      <c r="AG8" s="78">
        <f t="shared" si="32"/>
        <v>293</v>
      </c>
      <c r="AH8" s="79">
        <f t="shared" si="8"/>
        <v>6</v>
      </c>
      <c r="AI8" s="53">
        <f t="shared" si="33"/>
        <v>0</v>
      </c>
      <c r="AJ8" s="54">
        <f t="shared" si="34"/>
        <v>0</v>
      </c>
      <c r="AK8" s="54">
        <f t="shared" si="35"/>
        <v>0</v>
      </c>
      <c r="AL8" s="54">
        <f t="shared" si="36"/>
        <v>3</v>
      </c>
      <c r="AM8" s="54">
        <f t="shared" si="37"/>
        <v>0</v>
      </c>
      <c r="AN8" s="54">
        <f t="shared" si="38"/>
        <v>0</v>
      </c>
      <c r="AO8" s="54">
        <f t="shared" si="39"/>
        <v>0</v>
      </c>
      <c r="AP8" s="55">
        <f t="shared" si="40"/>
        <v>3</v>
      </c>
      <c r="AQ8" s="56">
        <f t="shared" si="9"/>
        <v>109.83333333333333</v>
      </c>
      <c r="AR8" s="57">
        <f t="shared" si="10"/>
        <v>98.666666666666671</v>
      </c>
      <c r="AS8" s="58">
        <f t="shared" si="41"/>
        <v>2.1555555555555554</v>
      </c>
      <c r="AT8" s="117" t="str">
        <f t="shared" si="11"/>
        <v/>
      </c>
      <c r="AU8" s="24" t="str">
        <f t="shared" si="12"/>
        <v/>
      </c>
    </row>
    <row r="9" spans="1:47">
      <c r="A9" s="136">
        <v>41694</v>
      </c>
      <c r="B9" s="136" t="s">
        <v>106</v>
      </c>
      <c r="C9" s="136" t="s">
        <v>209</v>
      </c>
      <c r="D9" s="136" t="s">
        <v>249</v>
      </c>
      <c r="E9" s="37"/>
      <c r="F9" s="77" t="str">
        <f t="shared" si="0"/>
        <v>Финикс</v>
      </c>
      <c r="G9" s="77" t="str">
        <f t="shared" si="1"/>
        <v>Хьюстон</v>
      </c>
      <c r="H9" s="46">
        <f t="shared" si="13"/>
        <v>112</v>
      </c>
      <c r="I9" s="46">
        <f t="shared" si="14"/>
        <v>115</v>
      </c>
      <c r="J9" s="41" t="str">
        <f t="shared" si="2"/>
        <v>В гостях</v>
      </c>
      <c r="K9" s="41" t="str">
        <f t="shared" si="3"/>
        <v>В</v>
      </c>
      <c r="L9" s="46">
        <f t="shared" si="4"/>
        <v>115</v>
      </c>
      <c r="M9" s="46">
        <f t="shared" si="5"/>
        <v>112</v>
      </c>
      <c r="N9" s="78">
        <f t="shared" si="15"/>
        <v>7</v>
      </c>
      <c r="O9" s="78">
        <f t="shared" si="16"/>
        <v>6</v>
      </c>
      <c r="P9" s="78">
        <f t="shared" si="17"/>
        <v>0</v>
      </c>
      <c r="Q9" s="78">
        <f t="shared" si="18"/>
        <v>1</v>
      </c>
      <c r="R9" s="78">
        <f t="shared" si="19"/>
        <v>774</v>
      </c>
      <c r="S9" s="78">
        <f t="shared" si="20"/>
        <v>704</v>
      </c>
      <c r="T9" s="78">
        <f t="shared" si="6"/>
        <v>18</v>
      </c>
      <c r="U9" s="78">
        <f t="shared" si="21"/>
        <v>3</v>
      </c>
      <c r="V9" s="78">
        <f t="shared" si="22"/>
        <v>3</v>
      </c>
      <c r="W9" s="78">
        <f t="shared" si="23"/>
        <v>0</v>
      </c>
      <c r="X9" s="78">
        <f t="shared" si="24"/>
        <v>0</v>
      </c>
      <c r="Y9" s="78">
        <f t="shared" si="25"/>
        <v>336</v>
      </c>
      <c r="Z9" s="78">
        <f t="shared" si="26"/>
        <v>299</v>
      </c>
      <c r="AA9" s="78">
        <f t="shared" si="7"/>
        <v>9</v>
      </c>
      <c r="AB9" s="78">
        <f t="shared" si="27"/>
        <v>4</v>
      </c>
      <c r="AC9" s="78">
        <f t="shared" si="28"/>
        <v>3</v>
      </c>
      <c r="AD9" s="78">
        <f t="shared" si="29"/>
        <v>0</v>
      </c>
      <c r="AE9" s="78">
        <f t="shared" si="30"/>
        <v>1</v>
      </c>
      <c r="AF9" s="78">
        <f t="shared" si="31"/>
        <v>438</v>
      </c>
      <c r="AG9" s="78">
        <f t="shared" si="32"/>
        <v>405</v>
      </c>
      <c r="AH9" s="79">
        <f t="shared" si="8"/>
        <v>9</v>
      </c>
      <c r="AI9" s="53">
        <f t="shared" si="33"/>
        <v>0</v>
      </c>
      <c r="AJ9" s="54">
        <f t="shared" si="34"/>
        <v>0</v>
      </c>
      <c r="AK9" s="54">
        <f t="shared" si="35"/>
        <v>0</v>
      </c>
      <c r="AL9" s="54">
        <f t="shared" si="36"/>
        <v>3</v>
      </c>
      <c r="AM9" s="54">
        <f t="shared" si="37"/>
        <v>0</v>
      </c>
      <c r="AN9" s="54">
        <f t="shared" si="38"/>
        <v>0</v>
      </c>
      <c r="AO9" s="54">
        <f t="shared" si="39"/>
        <v>0</v>
      </c>
      <c r="AP9" s="55">
        <f t="shared" si="40"/>
        <v>4</v>
      </c>
      <c r="AQ9" s="56">
        <f t="shared" si="9"/>
        <v>110.57142857142857</v>
      </c>
      <c r="AR9" s="57">
        <f t="shared" si="10"/>
        <v>100.57142857142857</v>
      </c>
      <c r="AS9" s="58">
        <f t="shared" si="41"/>
        <v>2.125</v>
      </c>
      <c r="AT9" s="117" t="str">
        <f t="shared" si="11"/>
        <v/>
      </c>
      <c r="AU9" s="24" t="str">
        <f t="shared" si="12"/>
        <v/>
      </c>
    </row>
    <row r="10" spans="1:47">
      <c r="A10" s="136">
        <v>41691</v>
      </c>
      <c r="B10" s="136" t="s">
        <v>229</v>
      </c>
      <c r="C10" s="136" t="s">
        <v>209</v>
      </c>
      <c r="D10" s="136" t="s">
        <v>250</v>
      </c>
      <c r="E10" s="37" t="s">
        <v>251</v>
      </c>
      <c r="F10" s="77" t="str">
        <f t="shared" si="0"/>
        <v>Голден Стэйт</v>
      </c>
      <c r="G10" s="77" t="str">
        <f t="shared" si="1"/>
        <v>Хьюстон</v>
      </c>
      <c r="H10" s="46">
        <f t="shared" si="13"/>
        <v>102</v>
      </c>
      <c r="I10" s="46">
        <f t="shared" si="14"/>
        <v>99</v>
      </c>
      <c r="J10" s="41" t="str">
        <f t="shared" si="2"/>
        <v>В гостях</v>
      </c>
      <c r="K10" s="41" t="str">
        <f t="shared" si="3"/>
        <v>П</v>
      </c>
      <c r="L10" s="46">
        <f t="shared" si="4"/>
        <v>99</v>
      </c>
      <c r="M10" s="46">
        <f t="shared" si="5"/>
        <v>102</v>
      </c>
      <c r="N10" s="78">
        <f t="shared" si="15"/>
        <v>8</v>
      </c>
      <c r="O10" s="78">
        <f t="shared" si="16"/>
        <v>6</v>
      </c>
      <c r="P10" s="78">
        <f t="shared" si="17"/>
        <v>0</v>
      </c>
      <c r="Q10" s="78">
        <f t="shared" si="18"/>
        <v>2</v>
      </c>
      <c r="R10" s="78">
        <f t="shared" si="19"/>
        <v>873</v>
      </c>
      <c r="S10" s="78">
        <f t="shared" si="20"/>
        <v>806</v>
      </c>
      <c r="T10" s="78">
        <f t="shared" si="6"/>
        <v>18</v>
      </c>
      <c r="U10" s="78">
        <f t="shared" si="21"/>
        <v>3</v>
      </c>
      <c r="V10" s="78">
        <f t="shared" si="22"/>
        <v>3</v>
      </c>
      <c r="W10" s="78">
        <f t="shared" si="23"/>
        <v>0</v>
      </c>
      <c r="X10" s="78">
        <f t="shared" si="24"/>
        <v>0</v>
      </c>
      <c r="Y10" s="78">
        <f t="shared" si="25"/>
        <v>336</v>
      </c>
      <c r="Z10" s="78">
        <f t="shared" si="26"/>
        <v>299</v>
      </c>
      <c r="AA10" s="78">
        <f t="shared" si="7"/>
        <v>9</v>
      </c>
      <c r="AB10" s="78">
        <f t="shared" si="27"/>
        <v>5</v>
      </c>
      <c r="AC10" s="78">
        <f t="shared" si="28"/>
        <v>3</v>
      </c>
      <c r="AD10" s="78">
        <f t="shared" si="29"/>
        <v>0</v>
      </c>
      <c r="AE10" s="78">
        <f t="shared" si="30"/>
        <v>2</v>
      </c>
      <c r="AF10" s="78">
        <f t="shared" si="31"/>
        <v>537</v>
      </c>
      <c r="AG10" s="78">
        <f t="shared" si="32"/>
        <v>507</v>
      </c>
      <c r="AH10" s="79">
        <f t="shared" si="8"/>
        <v>9</v>
      </c>
      <c r="AI10" s="53">
        <f t="shared" si="33"/>
        <v>0</v>
      </c>
      <c r="AJ10" s="54">
        <f t="shared" si="34"/>
        <v>0</v>
      </c>
      <c r="AK10" s="54">
        <f t="shared" si="35"/>
        <v>0</v>
      </c>
      <c r="AL10" s="54">
        <f t="shared" si="36"/>
        <v>3</v>
      </c>
      <c r="AM10" s="54">
        <f t="shared" si="37"/>
        <v>0</v>
      </c>
      <c r="AN10" s="54">
        <f t="shared" si="38"/>
        <v>0</v>
      </c>
      <c r="AO10" s="54">
        <f t="shared" si="39"/>
        <v>0</v>
      </c>
      <c r="AP10" s="55">
        <f t="shared" si="40"/>
        <v>5</v>
      </c>
      <c r="AQ10" s="56">
        <f t="shared" si="9"/>
        <v>109.125</v>
      </c>
      <c r="AR10" s="57">
        <f t="shared" si="10"/>
        <v>100.75</v>
      </c>
      <c r="AS10" s="58">
        <f t="shared" si="41"/>
        <v>1.8600000000000003</v>
      </c>
      <c r="AT10" s="117" t="str">
        <f t="shared" si="11"/>
        <v/>
      </c>
      <c r="AU10" s="24" t="str">
        <f t="shared" si="12"/>
        <v/>
      </c>
    </row>
    <row r="11" spans="1:47">
      <c r="A11" s="136">
        <v>41690</v>
      </c>
      <c r="B11" s="136" t="s">
        <v>223</v>
      </c>
      <c r="C11" s="136" t="s">
        <v>209</v>
      </c>
      <c r="D11" s="136" t="s">
        <v>225</v>
      </c>
      <c r="E11" s="37"/>
      <c r="F11" s="77" t="str">
        <f t="shared" si="0"/>
        <v>Лейкерс</v>
      </c>
      <c r="G11" s="77" t="str">
        <f t="shared" si="1"/>
        <v>Хьюстон</v>
      </c>
      <c r="H11" s="46">
        <f t="shared" si="13"/>
        <v>108</v>
      </c>
      <c r="I11" s="46">
        <f t="shared" si="14"/>
        <v>134</v>
      </c>
      <c r="J11" s="41" t="str">
        <f t="shared" si="2"/>
        <v>В гостях</v>
      </c>
      <c r="K11" s="41" t="str">
        <f t="shared" si="3"/>
        <v>В</v>
      </c>
      <c r="L11" s="46">
        <f t="shared" si="4"/>
        <v>134</v>
      </c>
      <c r="M11" s="46">
        <f t="shared" si="5"/>
        <v>108</v>
      </c>
      <c r="N11" s="78">
        <f t="shared" si="15"/>
        <v>9</v>
      </c>
      <c r="O11" s="78">
        <f t="shared" si="16"/>
        <v>7</v>
      </c>
      <c r="P11" s="78">
        <f t="shared" si="17"/>
        <v>0</v>
      </c>
      <c r="Q11" s="78">
        <f t="shared" si="18"/>
        <v>2</v>
      </c>
      <c r="R11" s="78">
        <f t="shared" si="19"/>
        <v>1007</v>
      </c>
      <c r="S11" s="78">
        <f t="shared" si="20"/>
        <v>914</v>
      </c>
      <c r="T11" s="78">
        <f t="shared" si="6"/>
        <v>21</v>
      </c>
      <c r="U11" s="78">
        <f t="shared" si="21"/>
        <v>3</v>
      </c>
      <c r="V11" s="78">
        <f t="shared" si="22"/>
        <v>3</v>
      </c>
      <c r="W11" s="78">
        <f t="shared" si="23"/>
        <v>0</v>
      </c>
      <c r="X11" s="78">
        <f t="shared" si="24"/>
        <v>0</v>
      </c>
      <c r="Y11" s="78">
        <f t="shared" si="25"/>
        <v>336</v>
      </c>
      <c r="Z11" s="78">
        <f t="shared" si="26"/>
        <v>299</v>
      </c>
      <c r="AA11" s="78">
        <f t="shared" si="7"/>
        <v>9</v>
      </c>
      <c r="AB11" s="78">
        <f t="shared" si="27"/>
        <v>6</v>
      </c>
      <c r="AC11" s="78">
        <f t="shared" si="28"/>
        <v>4</v>
      </c>
      <c r="AD11" s="78">
        <f t="shared" si="29"/>
        <v>0</v>
      </c>
      <c r="AE11" s="78">
        <f t="shared" si="30"/>
        <v>2</v>
      </c>
      <c r="AF11" s="78">
        <f t="shared" si="31"/>
        <v>671</v>
      </c>
      <c r="AG11" s="78">
        <f t="shared" si="32"/>
        <v>615</v>
      </c>
      <c r="AH11" s="79">
        <f t="shared" si="8"/>
        <v>12</v>
      </c>
      <c r="AI11" s="53">
        <f t="shared" si="33"/>
        <v>0</v>
      </c>
      <c r="AJ11" s="54">
        <f t="shared" si="34"/>
        <v>0</v>
      </c>
      <c r="AK11" s="54">
        <f t="shared" si="35"/>
        <v>0</v>
      </c>
      <c r="AL11" s="54">
        <f t="shared" si="36"/>
        <v>3</v>
      </c>
      <c r="AM11" s="54">
        <f t="shared" si="37"/>
        <v>0</v>
      </c>
      <c r="AN11" s="54">
        <f t="shared" si="38"/>
        <v>0</v>
      </c>
      <c r="AO11" s="54">
        <f t="shared" si="39"/>
        <v>0</v>
      </c>
      <c r="AP11" s="55">
        <f t="shared" si="40"/>
        <v>6</v>
      </c>
      <c r="AQ11" s="56">
        <f t="shared" si="9"/>
        <v>111.88888888888889</v>
      </c>
      <c r="AR11" s="57">
        <f t="shared" si="10"/>
        <v>101.55555555555556</v>
      </c>
      <c r="AS11" s="58">
        <f t="shared" si="41"/>
        <v>2.25</v>
      </c>
      <c r="AT11" s="117" t="str">
        <f t="shared" si="11"/>
        <v/>
      </c>
      <c r="AU11" s="24" t="str">
        <f t="shared" si="12"/>
        <v/>
      </c>
    </row>
    <row r="12" spans="1:47">
      <c r="A12" s="136">
        <v>41683</v>
      </c>
      <c r="B12" s="136" t="s">
        <v>209</v>
      </c>
      <c r="C12" s="136" t="s">
        <v>102</v>
      </c>
      <c r="D12" s="136" t="s">
        <v>252</v>
      </c>
      <c r="E12" s="37"/>
      <c r="F12" s="77" t="str">
        <f t="shared" si="0"/>
        <v>Хьюстон</v>
      </c>
      <c r="G12" s="77" t="str">
        <f t="shared" si="1"/>
        <v>Вашингтон</v>
      </c>
      <c r="H12" s="46">
        <f t="shared" si="13"/>
        <v>113</v>
      </c>
      <c r="I12" s="46">
        <f t="shared" si="14"/>
        <v>112</v>
      </c>
      <c r="J12" s="41" t="str">
        <f t="shared" si="2"/>
        <v>Дома</v>
      </c>
      <c r="K12" s="41" t="str">
        <f t="shared" si="3"/>
        <v>В</v>
      </c>
      <c r="L12" s="46">
        <f t="shared" si="4"/>
        <v>113</v>
      </c>
      <c r="M12" s="46">
        <f t="shared" si="5"/>
        <v>112</v>
      </c>
      <c r="N12" s="78">
        <f t="shared" si="15"/>
        <v>10</v>
      </c>
      <c r="O12" s="78">
        <f t="shared" si="16"/>
        <v>8</v>
      </c>
      <c r="P12" s="78">
        <f t="shared" si="17"/>
        <v>0</v>
      </c>
      <c r="Q12" s="78">
        <f t="shared" si="18"/>
        <v>2</v>
      </c>
      <c r="R12" s="78">
        <f t="shared" si="19"/>
        <v>1120</v>
      </c>
      <c r="S12" s="78">
        <f t="shared" si="20"/>
        <v>1026</v>
      </c>
      <c r="T12" s="78">
        <f t="shared" si="6"/>
        <v>24</v>
      </c>
      <c r="U12" s="78">
        <f t="shared" si="21"/>
        <v>4</v>
      </c>
      <c r="V12" s="78">
        <f t="shared" si="22"/>
        <v>4</v>
      </c>
      <c r="W12" s="78">
        <f t="shared" si="23"/>
        <v>0</v>
      </c>
      <c r="X12" s="78">
        <f t="shared" si="24"/>
        <v>0</v>
      </c>
      <c r="Y12" s="78">
        <f t="shared" si="25"/>
        <v>449</v>
      </c>
      <c r="Z12" s="78">
        <f t="shared" si="26"/>
        <v>411</v>
      </c>
      <c r="AA12" s="78">
        <f t="shared" si="7"/>
        <v>12</v>
      </c>
      <c r="AB12" s="78">
        <f t="shared" si="27"/>
        <v>6</v>
      </c>
      <c r="AC12" s="78">
        <f t="shared" si="28"/>
        <v>4</v>
      </c>
      <c r="AD12" s="78">
        <f t="shared" si="29"/>
        <v>0</v>
      </c>
      <c r="AE12" s="78">
        <f t="shared" si="30"/>
        <v>2</v>
      </c>
      <c r="AF12" s="78">
        <f t="shared" si="31"/>
        <v>671</v>
      </c>
      <c r="AG12" s="78">
        <f t="shared" si="32"/>
        <v>615</v>
      </c>
      <c r="AH12" s="79">
        <f t="shared" si="8"/>
        <v>12</v>
      </c>
      <c r="AI12" s="53">
        <f t="shared" si="33"/>
        <v>0</v>
      </c>
      <c r="AJ12" s="54">
        <f t="shared" si="34"/>
        <v>0</v>
      </c>
      <c r="AK12" s="54">
        <f t="shared" si="35"/>
        <v>0</v>
      </c>
      <c r="AL12" s="54">
        <f t="shared" si="36"/>
        <v>4</v>
      </c>
      <c r="AM12" s="54">
        <f t="shared" si="37"/>
        <v>0</v>
      </c>
      <c r="AN12" s="54">
        <f t="shared" si="38"/>
        <v>0</v>
      </c>
      <c r="AO12" s="54">
        <f t="shared" si="39"/>
        <v>0</v>
      </c>
      <c r="AP12" s="55">
        <f t="shared" si="40"/>
        <v>6</v>
      </c>
      <c r="AQ12" s="56">
        <f t="shared" si="9"/>
        <v>112</v>
      </c>
      <c r="AR12" s="57">
        <f t="shared" si="10"/>
        <v>102.6</v>
      </c>
      <c r="AS12" s="58">
        <f t="shared" si="41"/>
        <v>1.9583333333333333</v>
      </c>
      <c r="AT12" s="117" t="str">
        <f t="shared" si="11"/>
        <v>В</v>
      </c>
      <c r="AU12" s="24">
        <f t="shared" si="12"/>
        <v>225</v>
      </c>
    </row>
    <row r="13" spans="1:47" ht="12.75" hidden="1" customHeight="1">
      <c r="A13" s="129" t="s">
        <v>243</v>
      </c>
      <c r="B13" s="130" t="s">
        <v>119</v>
      </c>
      <c r="C13" s="130" t="s">
        <v>209</v>
      </c>
      <c r="D13" s="130" t="s">
        <v>253</v>
      </c>
      <c r="E13" s="37"/>
      <c r="F13" s="77" t="str">
        <f t="shared" si="0"/>
        <v>Миннесота</v>
      </c>
      <c r="G13" s="77" t="str">
        <f t="shared" si="1"/>
        <v>Хьюстон</v>
      </c>
      <c r="H13" s="46">
        <f t="shared" si="13"/>
        <v>89</v>
      </c>
      <c r="I13" s="46">
        <f t="shared" ref="I13:I22" si="42">VALUE(LEFT(RIGHT(D13,LEN(D13)-FIND(":",D13,1)),1))</f>
        <v>1</v>
      </c>
      <c r="J13" s="41" t="str">
        <f t="shared" si="2"/>
        <v>В гостях</v>
      </c>
      <c r="K13" s="41" t="str">
        <f t="shared" si="3"/>
        <v>П</v>
      </c>
      <c r="L13" s="46">
        <f t="shared" si="4"/>
        <v>1</v>
      </c>
      <c r="M13" s="46">
        <f t="shared" si="5"/>
        <v>89</v>
      </c>
      <c r="N13" s="78">
        <f t="shared" si="15"/>
        <v>11</v>
      </c>
      <c r="O13" s="78">
        <f t="shared" si="16"/>
        <v>8</v>
      </c>
      <c r="P13" s="78">
        <f t="shared" si="17"/>
        <v>0</v>
      </c>
      <c r="Q13" s="78">
        <f t="shared" si="18"/>
        <v>3</v>
      </c>
      <c r="R13" s="78">
        <f t="shared" si="19"/>
        <v>1121</v>
      </c>
      <c r="S13" s="78">
        <f t="shared" si="20"/>
        <v>1115</v>
      </c>
      <c r="T13" s="78">
        <f t="shared" si="6"/>
        <v>24</v>
      </c>
      <c r="U13" s="78">
        <f t="shared" si="21"/>
        <v>4</v>
      </c>
      <c r="V13" s="78">
        <f t="shared" si="22"/>
        <v>4</v>
      </c>
      <c r="W13" s="78">
        <f t="shared" si="23"/>
        <v>0</v>
      </c>
      <c r="X13" s="78">
        <f t="shared" si="24"/>
        <v>0</v>
      </c>
      <c r="Y13" s="78">
        <f t="shared" si="25"/>
        <v>449</v>
      </c>
      <c r="Z13" s="78">
        <f t="shared" si="26"/>
        <v>411</v>
      </c>
      <c r="AA13" s="78">
        <f t="shared" si="7"/>
        <v>12</v>
      </c>
      <c r="AB13" s="78">
        <f t="shared" si="27"/>
        <v>7</v>
      </c>
      <c r="AC13" s="78">
        <f t="shared" si="28"/>
        <v>4</v>
      </c>
      <c r="AD13" s="78">
        <f t="shared" si="29"/>
        <v>0</v>
      </c>
      <c r="AE13" s="78">
        <f t="shared" si="30"/>
        <v>3</v>
      </c>
      <c r="AF13" s="78">
        <f t="shared" si="31"/>
        <v>672</v>
      </c>
      <c r="AG13" s="78">
        <f t="shared" si="32"/>
        <v>704</v>
      </c>
      <c r="AH13" s="79">
        <f t="shared" si="8"/>
        <v>12</v>
      </c>
      <c r="AI13" s="53">
        <f t="shared" si="33"/>
        <v>0</v>
      </c>
      <c r="AJ13" s="54">
        <f t="shared" si="34"/>
        <v>0</v>
      </c>
      <c r="AK13" s="54">
        <f t="shared" si="35"/>
        <v>0</v>
      </c>
      <c r="AL13" s="54">
        <f t="shared" si="36"/>
        <v>4</v>
      </c>
      <c r="AM13" s="54">
        <f t="shared" si="37"/>
        <v>0</v>
      </c>
      <c r="AN13" s="54">
        <f t="shared" si="38"/>
        <v>1</v>
      </c>
      <c r="AO13" s="54">
        <f t="shared" si="39"/>
        <v>0</v>
      </c>
      <c r="AP13" s="55">
        <f t="shared" si="40"/>
        <v>6</v>
      </c>
      <c r="AQ13" s="56">
        <f t="shared" si="9"/>
        <v>101.90909090909091</v>
      </c>
      <c r="AR13" s="57">
        <f t="shared" si="10"/>
        <v>101.36363636363636</v>
      </c>
      <c r="AS13" s="58">
        <f t="shared" si="41"/>
        <v>0.47499999999999903</v>
      </c>
      <c r="AT13" s="1" t="str">
        <f t="shared" si="11"/>
        <v/>
      </c>
    </row>
    <row r="14" spans="1:47" ht="12.75" hidden="1" customHeight="1">
      <c r="A14" s="129" t="s">
        <v>236</v>
      </c>
      <c r="B14" s="130" t="s">
        <v>238</v>
      </c>
      <c r="C14" s="130" t="s">
        <v>209</v>
      </c>
      <c r="D14" s="130" t="s">
        <v>254</v>
      </c>
      <c r="E14" s="37"/>
      <c r="F14" s="77" t="str">
        <f t="shared" si="0"/>
        <v>Милуоки</v>
      </c>
      <c r="G14" s="77" t="str">
        <f t="shared" si="1"/>
        <v>Хьюстон</v>
      </c>
      <c r="H14" s="46">
        <f t="shared" si="13"/>
        <v>95</v>
      </c>
      <c r="I14" s="46">
        <f t="shared" si="42"/>
        <v>1</v>
      </c>
      <c r="J14" s="41" t="str">
        <f t="shared" si="2"/>
        <v>В гостях</v>
      </c>
      <c r="K14" s="41" t="str">
        <f t="shared" si="3"/>
        <v>П</v>
      </c>
      <c r="L14" s="46">
        <f t="shared" si="4"/>
        <v>1</v>
      </c>
      <c r="M14" s="46">
        <f t="shared" si="5"/>
        <v>95</v>
      </c>
      <c r="N14" s="78">
        <f t="shared" si="15"/>
        <v>12</v>
      </c>
      <c r="O14" s="78">
        <f t="shared" si="16"/>
        <v>8</v>
      </c>
      <c r="P14" s="78">
        <f t="shared" si="17"/>
        <v>0</v>
      </c>
      <c r="Q14" s="78">
        <f t="shared" si="18"/>
        <v>4</v>
      </c>
      <c r="R14" s="78">
        <f t="shared" si="19"/>
        <v>1122</v>
      </c>
      <c r="S14" s="78">
        <f t="shared" si="20"/>
        <v>1210</v>
      </c>
      <c r="T14" s="78">
        <f t="shared" si="6"/>
        <v>24</v>
      </c>
      <c r="U14" s="78">
        <f t="shared" si="21"/>
        <v>4</v>
      </c>
      <c r="V14" s="78">
        <f t="shared" si="22"/>
        <v>4</v>
      </c>
      <c r="W14" s="78">
        <f t="shared" si="23"/>
        <v>0</v>
      </c>
      <c r="X14" s="78">
        <f t="shared" si="24"/>
        <v>0</v>
      </c>
      <c r="Y14" s="78">
        <f t="shared" si="25"/>
        <v>449</v>
      </c>
      <c r="Z14" s="78">
        <f t="shared" si="26"/>
        <v>411</v>
      </c>
      <c r="AA14" s="78">
        <f t="shared" si="7"/>
        <v>12</v>
      </c>
      <c r="AB14" s="78">
        <f t="shared" si="27"/>
        <v>8</v>
      </c>
      <c r="AC14" s="78">
        <f t="shared" si="28"/>
        <v>4</v>
      </c>
      <c r="AD14" s="78">
        <f t="shared" si="29"/>
        <v>0</v>
      </c>
      <c r="AE14" s="78">
        <f t="shared" si="30"/>
        <v>4</v>
      </c>
      <c r="AF14" s="78">
        <f t="shared" si="31"/>
        <v>673</v>
      </c>
      <c r="AG14" s="78">
        <f t="shared" si="32"/>
        <v>799</v>
      </c>
      <c r="AH14" s="79">
        <f t="shared" si="8"/>
        <v>12</v>
      </c>
      <c r="AI14" s="53">
        <f t="shared" si="33"/>
        <v>0</v>
      </c>
      <c r="AJ14" s="54">
        <f t="shared" si="34"/>
        <v>0</v>
      </c>
      <c r="AK14" s="54">
        <f t="shared" si="35"/>
        <v>0</v>
      </c>
      <c r="AL14" s="54">
        <f t="shared" si="36"/>
        <v>4</v>
      </c>
      <c r="AM14" s="54">
        <f t="shared" si="37"/>
        <v>0</v>
      </c>
      <c r="AN14" s="54">
        <f t="shared" si="38"/>
        <v>2</v>
      </c>
      <c r="AO14" s="54">
        <f t="shared" si="39"/>
        <v>0</v>
      </c>
      <c r="AP14" s="55">
        <f t="shared" si="40"/>
        <v>6</v>
      </c>
      <c r="AQ14" s="56">
        <f t="shared" si="9"/>
        <v>93.5</v>
      </c>
      <c r="AR14" s="57">
        <f t="shared" si="10"/>
        <v>100.83333333333333</v>
      </c>
      <c r="AS14" s="58">
        <f t="shared" si="41"/>
        <v>-0.6875</v>
      </c>
      <c r="AT14" s="1" t="str">
        <f t="shared" si="11"/>
        <v/>
      </c>
    </row>
    <row r="15" spans="1:47" ht="12.75" hidden="1" customHeight="1">
      <c r="A15" s="129" t="s">
        <v>84</v>
      </c>
      <c r="B15" s="130" t="s">
        <v>74</v>
      </c>
      <c r="C15" s="130" t="s">
        <v>79</v>
      </c>
      <c r="D15" s="130" t="s">
        <v>70</v>
      </c>
      <c r="E15" s="37"/>
      <c r="F15" s="77" t="str">
        <f t="shared" si="0"/>
        <v>БАТЭ</v>
      </c>
      <c r="G15" s="77" t="str">
        <f t="shared" si="1"/>
        <v>Шахтер С</v>
      </c>
      <c r="H15" s="46">
        <f t="shared" si="13"/>
        <v>2</v>
      </c>
      <c r="I15" s="46">
        <f t="shared" si="42"/>
        <v>2</v>
      </c>
      <c r="J15" s="41" t="str">
        <f t="shared" si="2"/>
        <v>В гостях</v>
      </c>
      <c r="K15" s="41" t="str">
        <f t="shared" si="3"/>
        <v>Н</v>
      </c>
      <c r="L15" s="46">
        <f t="shared" si="4"/>
        <v>2</v>
      </c>
      <c r="M15" s="46">
        <f t="shared" si="5"/>
        <v>2</v>
      </c>
      <c r="N15" s="78">
        <f t="shared" si="15"/>
        <v>13</v>
      </c>
      <c r="O15" s="78">
        <f t="shared" si="16"/>
        <v>8</v>
      </c>
      <c r="P15" s="78">
        <f t="shared" si="17"/>
        <v>1</v>
      </c>
      <c r="Q15" s="78">
        <f t="shared" si="18"/>
        <v>4</v>
      </c>
      <c r="R15" s="78">
        <f t="shared" si="19"/>
        <v>1124</v>
      </c>
      <c r="S15" s="78">
        <f t="shared" si="20"/>
        <v>1212</v>
      </c>
      <c r="T15" s="78">
        <f t="shared" si="6"/>
        <v>25</v>
      </c>
      <c r="U15" s="78">
        <f t="shared" si="21"/>
        <v>4</v>
      </c>
      <c r="V15" s="78">
        <f t="shared" si="22"/>
        <v>4</v>
      </c>
      <c r="W15" s="78">
        <f t="shared" si="23"/>
        <v>0</v>
      </c>
      <c r="X15" s="78">
        <f t="shared" si="24"/>
        <v>0</v>
      </c>
      <c r="Y15" s="78">
        <f t="shared" si="25"/>
        <v>449</v>
      </c>
      <c r="Z15" s="78">
        <f t="shared" si="26"/>
        <v>411</v>
      </c>
      <c r="AA15" s="78">
        <f t="shared" si="7"/>
        <v>12</v>
      </c>
      <c r="AB15" s="78">
        <f t="shared" si="27"/>
        <v>9</v>
      </c>
      <c r="AC15" s="78">
        <f t="shared" si="28"/>
        <v>4</v>
      </c>
      <c r="AD15" s="78">
        <f t="shared" si="29"/>
        <v>1</v>
      </c>
      <c r="AE15" s="78">
        <f t="shared" si="30"/>
        <v>4</v>
      </c>
      <c r="AF15" s="78">
        <f t="shared" si="31"/>
        <v>675</v>
      </c>
      <c r="AG15" s="78">
        <f t="shared" si="32"/>
        <v>801</v>
      </c>
      <c r="AH15" s="79">
        <f t="shared" si="8"/>
        <v>13</v>
      </c>
      <c r="AI15" s="53">
        <f t="shared" si="33"/>
        <v>0</v>
      </c>
      <c r="AJ15" s="54">
        <f t="shared" si="34"/>
        <v>0</v>
      </c>
      <c r="AK15" s="54">
        <f t="shared" si="35"/>
        <v>0</v>
      </c>
      <c r="AL15" s="54">
        <f t="shared" si="36"/>
        <v>4</v>
      </c>
      <c r="AM15" s="54">
        <f t="shared" si="37"/>
        <v>0</v>
      </c>
      <c r="AN15" s="54">
        <f t="shared" si="38"/>
        <v>2</v>
      </c>
      <c r="AO15" s="54">
        <f t="shared" si="39"/>
        <v>1</v>
      </c>
      <c r="AP15" s="55">
        <f t="shared" si="40"/>
        <v>6</v>
      </c>
      <c r="AQ15" s="56">
        <f t="shared" si="9"/>
        <v>86.461538461538467</v>
      </c>
      <c r="AR15" s="57">
        <f t="shared" si="10"/>
        <v>93.230769230769226</v>
      </c>
      <c r="AS15" s="58">
        <f t="shared" si="41"/>
        <v>-0.88055555555555431</v>
      </c>
      <c r="AT15" s="1" t="str">
        <f t="shared" si="11"/>
        <v/>
      </c>
    </row>
    <row r="16" spans="1:47" ht="12.75" hidden="1" customHeight="1">
      <c r="A16" s="129" t="s">
        <v>85</v>
      </c>
      <c r="B16" s="130" t="s">
        <v>80</v>
      </c>
      <c r="C16" s="130" t="s">
        <v>74</v>
      </c>
      <c r="D16" s="130" t="s">
        <v>58</v>
      </c>
      <c r="E16" s="37"/>
      <c r="F16" s="77" t="str">
        <f t="shared" si="0"/>
        <v>Динамо Минск</v>
      </c>
      <c r="G16" s="77" t="str">
        <f t="shared" si="1"/>
        <v>БАТЭ</v>
      </c>
      <c r="H16" s="46">
        <f t="shared" si="13"/>
        <v>2</v>
      </c>
      <c r="I16" s="46">
        <f t="shared" si="42"/>
        <v>0</v>
      </c>
      <c r="J16" s="41" t="str">
        <f t="shared" si="2"/>
        <v>В гостях</v>
      </c>
      <c r="K16" s="41" t="str">
        <f t="shared" si="3"/>
        <v>П</v>
      </c>
      <c r="L16" s="46">
        <f t="shared" si="4"/>
        <v>0</v>
      </c>
      <c r="M16" s="46">
        <f t="shared" si="5"/>
        <v>2</v>
      </c>
      <c r="N16" s="78">
        <f t="shared" si="15"/>
        <v>14</v>
      </c>
      <c r="O16" s="78">
        <f t="shared" si="16"/>
        <v>8</v>
      </c>
      <c r="P16" s="78">
        <f t="shared" si="17"/>
        <v>1</v>
      </c>
      <c r="Q16" s="78">
        <f t="shared" si="18"/>
        <v>5</v>
      </c>
      <c r="R16" s="78">
        <f t="shared" si="19"/>
        <v>1124</v>
      </c>
      <c r="S16" s="78">
        <f t="shared" si="20"/>
        <v>1214</v>
      </c>
      <c r="T16" s="78">
        <f t="shared" si="6"/>
        <v>25</v>
      </c>
      <c r="U16" s="78">
        <f t="shared" si="21"/>
        <v>4</v>
      </c>
      <c r="V16" s="78">
        <f t="shared" si="22"/>
        <v>4</v>
      </c>
      <c r="W16" s="78">
        <f t="shared" si="23"/>
        <v>0</v>
      </c>
      <c r="X16" s="78">
        <f t="shared" si="24"/>
        <v>0</v>
      </c>
      <c r="Y16" s="78">
        <f t="shared" si="25"/>
        <v>449</v>
      </c>
      <c r="Z16" s="78">
        <f t="shared" si="26"/>
        <v>411</v>
      </c>
      <c r="AA16" s="78">
        <f t="shared" si="7"/>
        <v>12</v>
      </c>
      <c r="AB16" s="78">
        <f t="shared" si="27"/>
        <v>10</v>
      </c>
      <c r="AC16" s="78">
        <f t="shared" si="28"/>
        <v>4</v>
      </c>
      <c r="AD16" s="78">
        <f t="shared" si="29"/>
        <v>1</v>
      </c>
      <c r="AE16" s="78">
        <f t="shared" si="30"/>
        <v>5</v>
      </c>
      <c r="AF16" s="78">
        <f t="shared" si="31"/>
        <v>675</v>
      </c>
      <c r="AG16" s="78">
        <f t="shared" si="32"/>
        <v>803</v>
      </c>
      <c r="AH16" s="79">
        <f t="shared" si="8"/>
        <v>13</v>
      </c>
      <c r="AI16" s="53">
        <f t="shared" si="33"/>
        <v>0</v>
      </c>
      <c r="AJ16" s="54">
        <f t="shared" si="34"/>
        <v>0</v>
      </c>
      <c r="AK16" s="54">
        <f t="shared" si="35"/>
        <v>0</v>
      </c>
      <c r="AL16" s="54">
        <f t="shared" si="36"/>
        <v>4</v>
      </c>
      <c r="AM16" s="54">
        <f t="shared" si="37"/>
        <v>1</v>
      </c>
      <c r="AN16" s="54">
        <f t="shared" si="38"/>
        <v>2</v>
      </c>
      <c r="AO16" s="54">
        <f t="shared" si="39"/>
        <v>1</v>
      </c>
      <c r="AP16" s="55">
        <f t="shared" si="40"/>
        <v>6</v>
      </c>
      <c r="AQ16" s="56">
        <f t="shared" si="9"/>
        <v>80.285714285714292</v>
      </c>
      <c r="AR16" s="57">
        <f t="shared" si="10"/>
        <v>86.714285714285708</v>
      </c>
      <c r="AS16" s="58">
        <f t="shared" si="41"/>
        <v>-1.0650000000000006</v>
      </c>
      <c r="AT16" s="1" t="str">
        <f t="shared" si="11"/>
        <v/>
      </c>
    </row>
    <row r="17" spans="1:46" ht="12.75" hidden="1" customHeight="1">
      <c r="A17" s="129" t="s">
        <v>86</v>
      </c>
      <c r="B17" s="130" t="s">
        <v>74</v>
      </c>
      <c r="C17" s="130" t="s">
        <v>87</v>
      </c>
      <c r="D17" s="130" t="s">
        <v>88</v>
      </c>
      <c r="E17" s="37"/>
      <c r="F17" s="77" t="str">
        <f t="shared" si="0"/>
        <v>БАТЭ</v>
      </c>
      <c r="G17" s="77" t="str">
        <f t="shared" si="1"/>
        <v>Днепр Мог</v>
      </c>
      <c r="H17" s="46">
        <f t="shared" si="13"/>
        <v>5</v>
      </c>
      <c r="I17" s="46">
        <f t="shared" si="42"/>
        <v>0</v>
      </c>
      <c r="J17" s="41" t="str">
        <f t="shared" si="2"/>
        <v>В гостях</v>
      </c>
      <c r="K17" s="41" t="str">
        <f t="shared" si="3"/>
        <v>П</v>
      </c>
      <c r="L17" s="46">
        <f t="shared" si="4"/>
        <v>0</v>
      </c>
      <c r="M17" s="46">
        <f t="shared" si="5"/>
        <v>5</v>
      </c>
      <c r="N17" s="78">
        <f t="shared" si="15"/>
        <v>15</v>
      </c>
      <c r="O17" s="78">
        <f t="shared" si="16"/>
        <v>8</v>
      </c>
      <c r="P17" s="78">
        <f t="shared" si="17"/>
        <v>1</v>
      </c>
      <c r="Q17" s="78">
        <f t="shared" si="18"/>
        <v>6</v>
      </c>
      <c r="R17" s="78">
        <f t="shared" si="19"/>
        <v>1124</v>
      </c>
      <c r="S17" s="78">
        <f t="shared" si="20"/>
        <v>1219</v>
      </c>
      <c r="T17" s="78">
        <f t="shared" si="6"/>
        <v>25</v>
      </c>
      <c r="U17" s="78">
        <f t="shared" si="21"/>
        <v>4</v>
      </c>
      <c r="V17" s="78">
        <f t="shared" si="22"/>
        <v>4</v>
      </c>
      <c r="W17" s="78">
        <f t="shared" si="23"/>
        <v>0</v>
      </c>
      <c r="X17" s="78">
        <f t="shared" si="24"/>
        <v>0</v>
      </c>
      <c r="Y17" s="78">
        <f t="shared" si="25"/>
        <v>449</v>
      </c>
      <c r="Z17" s="78">
        <f t="shared" si="26"/>
        <v>411</v>
      </c>
      <c r="AA17" s="78">
        <f t="shared" si="7"/>
        <v>12</v>
      </c>
      <c r="AB17" s="78">
        <f t="shared" si="27"/>
        <v>11</v>
      </c>
      <c r="AC17" s="78">
        <f t="shared" si="28"/>
        <v>4</v>
      </c>
      <c r="AD17" s="78">
        <f t="shared" si="29"/>
        <v>1</v>
      </c>
      <c r="AE17" s="78">
        <f t="shared" si="30"/>
        <v>6</v>
      </c>
      <c r="AF17" s="78">
        <f t="shared" si="31"/>
        <v>675</v>
      </c>
      <c r="AG17" s="78">
        <f t="shared" si="32"/>
        <v>808</v>
      </c>
      <c r="AH17" s="79">
        <f t="shared" si="8"/>
        <v>13</v>
      </c>
      <c r="AI17" s="53">
        <f t="shared" si="33"/>
        <v>0</v>
      </c>
      <c r="AJ17" s="54">
        <f t="shared" si="34"/>
        <v>0</v>
      </c>
      <c r="AK17" s="54">
        <f t="shared" si="35"/>
        <v>0</v>
      </c>
      <c r="AL17" s="54">
        <f t="shared" si="36"/>
        <v>4</v>
      </c>
      <c r="AM17" s="54">
        <f t="shared" si="37"/>
        <v>2</v>
      </c>
      <c r="AN17" s="54">
        <f t="shared" si="38"/>
        <v>2</v>
      </c>
      <c r="AO17" s="54">
        <f t="shared" si="39"/>
        <v>1</v>
      </c>
      <c r="AP17" s="55">
        <f t="shared" si="40"/>
        <v>6</v>
      </c>
      <c r="AQ17" s="56">
        <f t="shared" si="9"/>
        <v>74.933333333333337</v>
      </c>
      <c r="AR17" s="57">
        <f t="shared" si="10"/>
        <v>81.266666666666666</v>
      </c>
      <c r="AS17" s="58">
        <f t="shared" si="41"/>
        <v>-1.2340909090909093</v>
      </c>
      <c r="AT17" s="1" t="str">
        <f t="shared" si="11"/>
        <v/>
      </c>
    </row>
    <row r="18" spans="1:46" ht="12.75" hidden="1" customHeight="1">
      <c r="A18" s="129" t="s">
        <v>89</v>
      </c>
      <c r="B18" s="130" t="s">
        <v>78</v>
      </c>
      <c r="C18" s="130" t="s">
        <v>74</v>
      </c>
      <c r="D18" s="130" t="s">
        <v>65</v>
      </c>
      <c r="E18" s="37"/>
      <c r="F18" s="77" t="str">
        <f t="shared" si="0"/>
        <v>Нафтан</v>
      </c>
      <c r="G18" s="77" t="str">
        <f t="shared" si="1"/>
        <v>БАТЭ</v>
      </c>
      <c r="H18" s="46">
        <f t="shared" si="13"/>
        <v>0</v>
      </c>
      <c r="I18" s="46">
        <f t="shared" si="42"/>
        <v>2</v>
      </c>
      <c r="J18" s="41" t="str">
        <f t="shared" si="2"/>
        <v>В гостях</v>
      </c>
      <c r="K18" s="41" t="str">
        <f t="shared" si="3"/>
        <v>В</v>
      </c>
      <c r="L18" s="46">
        <f t="shared" si="4"/>
        <v>2</v>
      </c>
      <c r="M18" s="46">
        <f t="shared" si="5"/>
        <v>0</v>
      </c>
      <c r="N18" s="78">
        <f t="shared" si="15"/>
        <v>16</v>
      </c>
      <c r="O18" s="78">
        <f t="shared" si="16"/>
        <v>9</v>
      </c>
      <c r="P18" s="78">
        <f t="shared" si="17"/>
        <v>1</v>
      </c>
      <c r="Q18" s="78">
        <f t="shared" si="18"/>
        <v>6</v>
      </c>
      <c r="R18" s="78">
        <f t="shared" si="19"/>
        <v>1126</v>
      </c>
      <c r="S18" s="78">
        <f t="shared" si="20"/>
        <v>1219</v>
      </c>
      <c r="T18" s="78">
        <f t="shared" si="6"/>
        <v>28</v>
      </c>
      <c r="U18" s="78">
        <f t="shared" si="21"/>
        <v>4</v>
      </c>
      <c r="V18" s="78">
        <f t="shared" si="22"/>
        <v>4</v>
      </c>
      <c r="W18" s="78">
        <f t="shared" si="23"/>
        <v>0</v>
      </c>
      <c r="X18" s="78">
        <f t="shared" si="24"/>
        <v>0</v>
      </c>
      <c r="Y18" s="78">
        <f t="shared" si="25"/>
        <v>449</v>
      </c>
      <c r="Z18" s="78">
        <f t="shared" si="26"/>
        <v>411</v>
      </c>
      <c r="AA18" s="78">
        <f t="shared" si="7"/>
        <v>12</v>
      </c>
      <c r="AB18" s="78">
        <f t="shared" si="27"/>
        <v>12</v>
      </c>
      <c r="AC18" s="78">
        <f t="shared" si="28"/>
        <v>5</v>
      </c>
      <c r="AD18" s="78">
        <f t="shared" si="29"/>
        <v>1</v>
      </c>
      <c r="AE18" s="78">
        <f t="shared" si="30"/>
        <v>6</v>
      </c>
      <c r="AF18" s="78">
        <f t="shared" si="31"/>
        <v>677</v>
      </c>
      <c r="AG18" s="78">
        <f t="shared" si="32"/>
        <v>808</v>
      </c>
      <c r="AH18" s="79">
        <f t="shared" si="8"/>
        <v>16</v>
      </c>
      <c r="AI18" s="53">
        <f t="shared" si="33"/>
        <v>0</v>
      </c>
      <c r="AJ18" s="54">
        <f t="shared" si="34"/>
        <v>0</v>
      </c>
      <c r="AK18" s="54">
        <f t="shared" si="35"/>
        <v>0</v>
      </c>
      <c r="AL18" s="54">
        <f t="shared" si="36"/>
        <v>4</v>
      </c>
      <c r="AM18" s="54">
        <f t="shared" si="37"/>
        <v>2</v>
      </c>
      <c r="AN18" s="54">
        <f t="shared" si="38"/>
        <v>2</v>
      </c>
      <c r="AO18" s="54">
        <f t="shared" si="39"/>
        <v>2</v>
      </c>
      <c r="AP18" s="55">
        <f t="shared" si="40"/>
        <v>6</v>
      </c>
      <c r="AQ18" s="56">
        <f t="shared" si="9"/>
        <v>70.375</v>
      </c>
      <c r="AR18" s="57">
        <f t="shared" si="10"/>
        <v>76.1875</v>
      </c>
      <c r="AS18" s="58">
        <f t="shared" si="41"/>
        <v>-1.3055555555555551</v>
      </c>
      <c r="AT18" s="1" t="str">
        <f t="shared" si="11"/>
        <v/>
      </c>
    </row>
    <row r="19" spans="1:46" ht="12.75" hidden="1" customHeight="1">
      <c r="A19" s="129" t="s">
        <v>90</v>
      </c>
      <c r="B19" s="130" t="s">
        <v>91</v>
      </c>
      <c r="C19" s="130" t="s">
        <v>74</v>
      </c>
      <c r="D19" s="130" t="s">
        <v>71</v>
      </c>
      <c r="E19" s="37"/>
      <c r="F19" s="77" t="str">
        <f t="shared" si="0"/>
        <v>Неман Гродно</v>
      </c>
      <c r="G19" s="77" t="str">
        <f t="shared" si="1"/>
        <v>БАТЭ</v>
      </c>
      <c r="H19" s="46">
        <f t="shared" si="13"/>
        <v>0</v>
      </c>
      <c r="I19" s="46">
        <f t="shared" si="42"/>
        <v>3</v>
      </c>
      <c r="J19" s="41" t="str">
        <f t="shared" si="2"/>
        <v>В гостях</v>
      </c>
      <c r="K19" s="41" t="str">
        <f t="shared" si="3"/>
        <v>В</v>
      </c>
      <c r="L19" s="46">
        <f t="shared" si="4"/>
        <v>3</v>
      </c>
      <c r="M19" s="46">
        <f t="shared" si="5"/>
        <v>0</v>
      </c>
      <c r="N19" s="78">
        <f t="shared" si="15"/>
        <v>17</v>
      </c>
      <c r="O19" s="78">
        <f t="shared" si="16"/>
        <v>10</v>
      </c>
      <c r="P19" s="78">
        <f t="shared" si="17"/>
        <v>1</v>
      </c>
      <c r="Q19" s="78">
        <f t="shared" si="18"/>
        <v>6</v>
      </c>
      <c r="R19" s="78">
        <f t="shared" si="19"/>
        <v>1129</v>
      </c>
      <c r="S19" s="78">
        <f t="shared" si="20"/>
        <v>1219</v>
      </c>
      <c r="T19" s="78">
        <f t="shared" si="6"/>
        <v>31</v>
      </c>
      <c r="U19" s="78">
        <f t="shared" si="21"/>
        <v>4</v>
      </c>
      <c r="V19" s="78">
        <f t="shared" si="22"/>
        <v>4</v>
      </c>
      <c r="W19" s="78">
        <f t="shared" si="23"/>
        <v>0</v>
      </c>
      <c r="X19" s="78">
        <f t="shared" si="24"/>
        <v>0</v>
      </c>
      <c r="Y19" s="78">
        <f t="shared" si="25"/>
        <v>449</v>
      </c>
      <c r="Z19" s="78">
        <f t="shared" si="26"/>
        <v>411</v>
      </c>
      <c r="AA19" s="78">
        <f t="shared" si="7"/>
        <v>12</v>
      </c>
      <c r="AB19" s="78">
        <f t="shared" si="27"/>
        <v>13</v>
      </c>
      <c r="AC19" s="78">
        <f t="shared" si="28"/>
        <v>6</v>
      </c>
      <c r="AD19" s="78">
        <f t="shared" si="29"/>
        <v>1</v>
      </c>
      <c r="AE19" s="78">
        <f t="shared" si="30"/>
        <v>6</v>
      </c>
      <c r="AF19" s="78">
        <f t="shared" si="31"/>
        <v>680</v>
      </c>
      <c r="AG19" s="78">
        <f t="shared" si="32"/>
        <v>808</v>
      </c>
      <c r="AH19" s="79">
        <f t="shared" si="8"/>
        <v>19</v>
      </c>
      <c r="AI19" s="53">
        <f t="shared" si="33"/>
        <v>0</v>
      </c>
      <c r="AJ19" s="54">
        <f t="shared" si="34"/>
        <v>0</v>
      </c>
      <c r="AK19" s="54">
        <f t="shared" si="35"/>
        <v>0</v>
      </c>
      <c r="AL19" s="54">
        <f t="shared" si="36"/>
        <v>4</v>
      </c>
      <c r="AM19" s="54">
        <f t="shared" si="37"/>
        <v>2</v>
      </c>
      <c r="AN19" s="54">
        <f t="shared" si="38"/>
        <v>2</v>
      </c>
      <c r="AO19" s="54">
        <f t="shared" si="39"/>
        <v>2</v>
      </c>
      <c r="AP19" s="55">
        <f t="shared" si="40"/>
        <v>7</v>
      </c>
      <c r="AQ19" s="56">
        <f t="shared" si="9"/>
        <v>66.411764705882348</v>
      </c>
      <c r="AR19" s="57">
        <f t="shared" si="10"/>
        <v>71.705882352941174</v>
      </c>
      <c r="AS19" s="58">
        <f t="shared" si="41"/>
        <v>-1.3583333333333347</v>
      </c>
      <c r="AT19" s="1" t="str">
        <f t="shared" si="11"/>
        <v/>
      </c>
    </row>
    <row r="20" spans="1:46" ht="12.75" hidden="1" customHeight="1">
      <c r="A20" s="129" t="s">
        <v>92</v>
      </c>
      <c r="B20" s="130" t="s">
        <v>75</v>
      </c>
      <c r="C20" s="130" t="s">
        <v>74</v>
      </c>
      <c r="D20" s="130" t="s">
        <v>76</v>
      </c>
      <c r="E20" s="37"/>
      <c r="F20" s="77" t="str">
        <f t="shared" si="0"/>
        <v>Гомель</v>
      </c>
      <c r="G20" s="77" t="str">
        <f t="shared" si="1"/>
        <v>БАТЭ</v>
      </c>
      <c r="H20" s="46">
        <f t="shared" si="13"/>
        <v>0</v>
      </c>
      <c r="I20" s="46">
        <f t="shared" si="42"/>
        <v>0</v>
      </c>
      <c r="J20" s="41" t="str">
        <f t="shared" si="2"/>
        <v>В гостях</v>
      </c>
      <c r="K20" s="41" t="str">
        <f t="shared" si="3"/>
        <v>Н</v>
      </c>
      <c r="L20" s="46">
        <f t="shared" si="4"/>
        <v>0</v>
      </c>
      <c r="M20" s="46">
        <f t="shared" si="5"/>
        <v>0</v>
      </c>
      <c r="N20" s="78">
        <f t="shared" si="15"/>
        <v>18</v>
      </c>
      <c r="O20" s="78">
        <f t="shared" si="16"/>
        <v>10</v>
      </c>
      <c r="P20" s="78">
        <f t="shared" si="17"/>
        <v>2</v>
      </c>
      <c r="Q20" s="78">
        <f t="shared" si="18"/>
        <v>6</v>
      </c>
      <c r="R20" s="78">
        <f t="shared" si="19"/>
        <v>1129</v>
      </c>
      <c r="S20" s="78">
        <f t="shared" si="20"/>
        <v>1219</v>
      </c>
      <c r="T20" s="78">
        <f t="shared" si="6"/>
        <v>32</v>
      </c>
      <c r="U20" s="78">
        <f t="shared" si="21"/>
        <v>4</v>
      </c>
      <c r="V20" s="78">
        <f t="shared" si="22"/>
        <v>4</v>
      </c>
      <c r="W20" s="78">
        <f t="shared" si="23"/>
        <v>0</v>
      </c>
      <c r="X20" s="78">
        <f t="shared" si="24"/>
        <v>0</v>
      </c>
      <c r="Y20" s="78">
        <f t="shared" si="25"/>
        <v>449</v>
      </c>
      <c r="Z20" s="78">
        <f t="shared" si="26"/>
        <v>411</v>
      </c>
      <c r="AA20" s="78">
        <f t="shared" si="7"/>
        <v>12</v>
      </c>
      <c r="AB20" s="78">
        <f t="shared" si="27"/>
        <v>14</v>
      </c>
      <c r="AC20" s="78">
        <f t="shared" si="28"/>
        <v>6</v>
      </c>
      <c r="AD20" s="78">
        <f t="shared" si="29"/>
        <v>2</v>
      </c>
      <c r="AE20" s="78">
        <f t="shared" si="30"/>
        <v>6</v>
      </c>
      <c r="AF20" s="78">
        <f t="shared" si="31"/>
        <v>680</v>
      </c>
      <c r="AG20" s="78">
        <f t="shared" si="32"/>
        <v>808</v>
      </c>
      <c r="AH20" s="79">
        <f t="shared" si="8"/>
        <v>20</v>
      </c>
      <c r="AI20" s="53">
        <f t="shared" si="33"/>
        <v>0</v>
      </c>
      <c r="AJ20" s="54">
        <f t="shared" si="34"/>
        <v>0</v>
      </c>
      <c r="AK20" s="54">
        <f t="shared" si="35"/>
        <v>0</v>
      </c>
      <c r="AL20" s="54">
        <f t="shared" si="36"/>
        <v>4</v>
      </c>
      <c r="AM20" s="54">
        <f t="shared" si="37"/>
        <v>3</v>
      </c>
      <c r="AN20" s="54">
        <f t="shared" si="38"/>
        <v>2</v>
      </c>
      <c r="AO20" s="54">
        <f t="shared" si="39"/>
        <v>2</v>
      </c>
      <c r="AP20" s="55">
        <f t="shared" si="40"/>
        <v>7</v>
      </c>
      <c r="AQ20" s="56">
        <f t="shared" si="9"/>
        <v>62.722222222222221</v>
      </c>
      <c r="AR20" s="57">
        <f t="shared" si="10"/>
        <v>67.722222222222229</v>
      </c>
      <c r="AS20" s="58">
        <f t="shared" si="41"/>
        <v>-1.4392857142857143</v>
      </c>
      <c r="AT20" s="1" t="str">
        <f t="shared" si="11"/>
        <v/>
      </c>
    </row>
    <row r="21" spans="1:46" ht="12.75" hidden="1" customHeight="1">
      <c r="A21" s="129" t="s">
        <v>93</v>
      </c>
      <c r="B21" s="130" t="s">
        <v>74</v>
      </c>
      <c r="C21" s="130" t="s">
        <v>73</v>
      </c>
      <c r="D21" s="130" t="s">
        <v>57</v>
      </c>
      <c r="E21" s="37"/>
      <c r="F21" s="77" t="str">
        <f t="shared" si="0"/>
        <v>БАТЭ</v>
      </c>
      <c r="G21" s="77" t="str">
        <f t="shared" si="1"/>
        <v>Минск</v>
      </c>
      <c r="H21" s="46">
        <f t="shared" si="13"/>
        <v>1</v>
      </c>
      <c r="I21" s="46">
        <f t="shared" si="42"/>
        <v>1</v>
      </c>
      <c r="J21" s="41" t="str">
        <f t="shared" si="2"/>
        <v>В гостях</v>
      </c>
      <c r="K21" s="41" t="str">
        <f t="shared" si="3"/>
        <v>Н</v>
      </c>
      <c r="L21" s="46">
        <f t="shared" si="4"/>
        <v>1</v>
      </c>
      <c r="M21" s="46">
        <f t="shared" si="5"/>
        <v>1</v>
      </c>
      <c r="N21" s="78">
        <f t="shared" si="15"/>
        <v>19</v>
      </c>
      <c r="O21" s="78">
        <f t="shared" si="16"/>
        <v>10</v>
      </c>
      <c r="P21" s="78">
        <f t="shared" si="17"/>
        <v>3</v>
      </c>
      <c r="Q21" s="78">
        <f t="shared" si="18"/>
        <v>6</v>
      </c>
      <c r="R21" s="78">
        <f t="shared" si="19"/>
        <v>1130</v>
      </c>
      <c r="S21" s="78">
        <f t="shared" si="20"/>
        <v>1220</v>
      </c>
      <c r="T21" s="78">
        <f t="shared" si="6"/>
        <v>33</v>
      </c>
      <c r="U21" s="78">
        <f t="shared" si="21"/>
        <v>4</v>
      </c>
      <c r="V21" s="78">
        <f t="shared" si="22"/>
        <v>4</v>
      </c>
      <c r="W21" s="78">
        <f t="shared" si="23"/>
        <v>0</v>
      </c>
      <c r="X21" s="78">
        <f t="shared" si="24"/>
        <v>0</v>
      </c>
      <c r="Y21" s="78">
        <f t="shared" si="25"/>
        <v>449</v>
      </c>
      <c r="Z21" s="78">
        <f t="shared" si="26"/>
        <v>411</v>
      </c>
      <c r="AA21" s="78">
        <f t="shared" si="7"/>
        <v>12</v>
      </c>
      <c r="AB21" s="78">
        <f t="shared" si="27"/>
        <v>15</v>
      </c>
      <c r="AC21" s="78">
        <f t="shared" si="28"/>
        <v>6</v>
      </c>
      <c r="AD21" s="78">
        <f t="shared" si="29"/>
        <v>3</v>
      </c>
      <c r="AE21" s="78">
        <f t="shared" si="30"/>
        <v>6</v>
      </c>
      <c r="AF21" s="78">
        <f t="shared" si="31"/>
        <v>681</v>
      </c>
      <c r="AG21" s="78">
        <f t="shared" si="32"/>
        <v>809</v>
      </c>
      <c r="AH21" s="79">
        <f t="shared" si="8"/>
        <v>21</v>
      </c>
      <c r="AI21" s="53">
        <f t="shared" si="33"/>
        <v>0</v>
      </c>
      <c r="AJ21" s="54">
        <f t="shared" si="34"/>
        <v>0</v>
      </c>
      <c r="AK21" s="54">
        <f t="shared" si="35"/>
        <v>0</v>
      </c>
      <c r="AL21" s="54">
        <f t="shared" si="36"/>
        <v>4</v>
      </c>
      <c r="AM21" s="54">
        <f t="shared" si="37"/>
        <v>3</v>
      </c>
      <c r="AN21" s="54">
        <f t="shared" si="38"/>
        <v>3</v>
      </c>
      <c r="AO21" s="54">
        <f t="shared" si="39"/>
        <v>2</v>
      </c>
      <c r="AP21" s="55">
        <f t="shared" si="40"/>
        <v>7</v>
      </c>
      <c r="AQ21" s="56">
        <f t="shared" si="9"/>
        <v>59.473684210526315</v>
      </c>
      <c r="AR21" s="57">
        <f t="shared" si="10"/>
        <v>64.21052631578948</v>
      </c>
      <c r="AS21" s="58">
        <f t="shared" si="41"/>
        <v>-1.5072222222222227</v>
      </c>
      <c r="AT21" s="1" t="str">
        <f t="shared" si="11"/>
        <v/>
      </c>
    </row>
    <row r="22" spans="1:46" ht="13.5" hidden="1" customHeight="1" thickBot="1">
      <c r="A22" s="131" t="s">
        <v>94</v>
      </c>
      <c r="B22" s="132" t="s">
        <v>77</v>
      </c>
      <c r="C22" s="132" t="s">
        <v>74</v>
      </c>
      <c r="D22" s="132" t="s">
        <v>65</v>
      </c>
      <c r="E22" s="38"/>
      <c r="F22" s="77" t="str">
        <f t="shared" si="0"/>
        <v>Белшина</v>
      </c>
      <c r="G22" s="77" t="str">
        <f t="shared" si="1"/>
        <v>БАТЭ</v>
      </c>
      <c r="H22" s="46">
        <f t="shared" si="13"/>
        <v>0</v>
      </c>
      <c r="I22" s="46">
        <f t="shared" si="42"/>
        <v>2</v>
      </c>
      <c r="J22" s="41" t="str">
        <f t="shared" si="2"/>
        <v>В гостях</v>
      </c>
      <c r="K22" s="41" t="str">
        <f t="shared" si="3"/>
        <v>В</v>
      </c>
      <c r="L22" s="46">
        <f t="shared" si="4"/>
        <v>2</v>
      </c>
      <c r="M22" s="46">
        <f t="shared" si="5"/>
        <v>0</v>
      </c>
      <c r="N22" s="78">
        <f t="shared" si="15"/>
        <v>20</v>
      </c>
      <c r="O22" s="78">
        <f t="shared" si="16"/>
        <v>11</v>
      </c>
      <c r="P22" s="78">
        <f t="shared" si="17"/>
        <v>3</v>
      </c>
      <c r="Q22" s="78">
        <f t="shared" si="18"/>
        <v>6</v>
      </c>
      <c r="R22" s="78">
        <f t="shared" si="19"/>
        <v>1132</v>
      </c>
      <c r="S22" s="78">
        <f t="shared" si="20"/>
        <v>1220</v>
      </c>
      <c r="T22" s="78">
        <f t="shared" si="6"/>
        <v>36</v>
      </c>
      <c r="U22" s="78">
        <f t="shared" si="21"/>
        <v>4</v>
      </c>
      <c r="V22" s="78">
        <f t="shared" si="22"/>
        <v>4</v>
      </c>
      <c r="W22" s="78">
        <f t="shared" si="23"/>
        <v>0</v>
      </c>
      <c r="X22" s="78">
        <f t="shared" si="24"/>
        <v>0</v>
      </c>
      <c r="Y22" s="78">
        <f t="shared" si="25"/>
        <v>449</v>
      </c>
      <c r="Z22" s="78">
        <f t="shared" si="26"/>
        <v>411</v>
      </c>
      <c r="AA22" s="78">
        <f t="shared" si="7"/>
        <v>12</v>
      </c>
      <c r="AB22" s="78">
        <f t="shared" si="27"/>
        <v>16</v>
      </c>
      <c r="AC22" s="78">
        <f t="shared" si="28"/>
        <v>7</v>
      </c>
      <c r="AD22" s="78">
        <f t="shared" si="29"/>
        <v>3</v>
      </c>
      <c r="AE22" s="78">
        <f t="shared" si="30"/>
        <v>6</v>
      </c>
      <c r="AF22" s="78">
        <f t="shared" si="31"/>
        <v>683</v>
      </c>
      <c r="AG22" s="78">
        <f t="shared" si="32"/>
        <v>809</v>
      </c>
      <c r="AH22" s="79">
        <f t="shared" si="8"/>
        <v>24</v>
      </c>
      <c r="AI22" s="59">
        <f t="shared" si="33"/>
        <v>0</v>
      </c>
      <c r="AJ22" s="60">
        <f t="shared" si="34"/>
        <v>0</v>
      </c>
      <c r="AK22" s="60">
        <f t="shared" si="35"/>
        <v>0</v>
      </c>
      <c r="AL22" s="60">
        <f t="shared" si="36"/>
        <v>4</v>
      </c>
      <c r="AM22" s="60">
        <f t="shared" si="37"/>
        <v>3</v>
      </c>
      <c r="AN22" s="60">
        <f t="shared" si="38"/>
        <v>3</v>
      </c>
      <c r="AO22" s="60">
        <f t="shared" si="39"/>
        <v>3</v>
      </c>
      <c r="AP22" s="61">
        <f t="shared" si="40"/>
        <v>7</v>
      </c>
      <c r="AQ22" s="62">
        <f t="shared" si="9"/>
        <v>56.6</v>
      </c>
      <c r="AR22" s="63">
        <f t="shared" si="10"/>
        <v>61</v>
      </c>
      <c r="AS22" s="64">
        <f t="shared" si="41"/>
        <v>-1.54375</v>
      </c>
      <c r="AT22" s="1" t="str">
        <f t="shared" si="11"/>
        <v/>
      </c>
    </row>
    <row r="23" spans="1:46" ht="12.75" hidden="1" customHeight="1">
      <c r="A23" s="130" t="s">
        <v>95</v>
      </c>
      <c r="B23" s="130" t="s">
        <v>74</v>
      </c>
      <c r="C23" s="130" t="s">
        <v>81</v>
      </c>
      <c r="D23" s="130" t="s">
        <v>72</v>
      </c>
      <c r="E23" s="36"/>
      <c r="H23" s="2"/>
      <c r="I23" s="2"/>
      <c r="L23" s="2"/>
      <c r="M23" s="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46" ht="12.75" hidden="1" customHeight="1">
      <c r="A24" s="130" t="s">
        <v>96</v>
      </c>
      <c r="B24" s="130" t="s">
        <v>79</v>
      </c>
      <c r="C24" s="130" t="s">
        <v>74</v>
      </c>
      <c r="D24" s="130" t="s">
        <v>65</v>
      </c>
      <c r="E24" s="36"/>
      <c r="H24" s="2"/>
      <c r="I24" s="2"/>
      <c r="L24" s="2"/>
      <c r="M24" s="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46" ht="12.75" hidden="1" customHeight="1">
      <c r="A25" s="130" t="s">
        <v>97</v>
      </c>
      <c r="B25" s="130" t="s">
        <v>74</v>
      </c>
      <c r="C25" s="130" t="s">
        <v>82</v>
      </c>
      <c r="D25" s="130" t="s">
        <v>59</v>
      </c>
      <c r="E25" s="36"/>
      <c r="H25" s="2"/>
      <c r="I25" s="2"/>
      <c r="L25" s="2"/>
      <c r="M25" s="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46" ht="12.75" hidden="1" customHeight="1">
      <c r="A26" s="130" t="s">
        <v>98</v>
      </c>
      <c r="B26" s="130" t="s">
        <v>83</v>
      </c>
      <c r="C26" s="130" t="s">
        <v>74</v>
      </c>
      <c r="D26" s="130" t="s">
        <v>71</v>
      </c>
      <c r="E26" s="36"/>
      <c r="H26" s="2"/>
      <c r="I26" s="2"/>
      <c r="L26" s="2"/>
      <c r="M26" s="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46" ht="12.75" hidden="1" customHeight="1">
      <c r="A27" s="130" t="s">
        <v>99</v>
      </c>
      <c r="B27" s="130" t="s">
        <v>74</v>
      </c>
      <c r="C27" s="130" t="s">
        <v>80</v>
      </c>
      <c r="D27" s="130" t="s">
        <v>59</v>
      </c>
      <c r="E27" s="36"/>
      <c r="H27" s="2"/>
      <c r="I27" s="2"/>
      <c r="L27" s="2"/>
      <c r="M27" s="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46" ht="12.75" hidden="1" customHeight="1">
      <c r="A28" s="130" t="s">
        <v>100</v>
      </c>
      <c r="B28" s="130" t="s">
        <v>87</v>
      </c>
      <c r="C28" s="130" t="s">
        <v>74</v>
      </c>
      <c r="D28" s="130" t="s">
        <v>57</v>
      </c>
      <c r="E28" s="36"/>
      <c r="H28" s="2"/>
      <c r="I28" s="2"/>
      <c r="M28" s="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46" ht="12.75" hidden="1" customHeight="1">
      <c r="A29" s="128">
        <v>40639</v>
      </c>
      <c r="B29" s="3" t="s">
        <v>74</v>
      </c>
      <c r="C29" s="3" t="s">
        <v>78</v>
      </c>
      <c r="D29" s="127">
        <v>4.1666666666666664E-2</v>
      </c>
    </row>
    <row r="30" spans="1:46" ht="12.75" hidden="1" customHeight="1">
      <c r="A30" s="133">
        <v>40635</v>
      </c>
      <c r="B30" s="3" t="s">
        <v>74</v>
      </c>
      <c r="C30" s="3" t="s">
        <v>91</v>
      </c>
      <c r="D30" s="127">
        <v>4.2361111111111106E-2</v>
      </c>
      <c r="E30" s="3"/>
      <c r="F30" s="3"/>
      <c r="G30" s="3"/>
      <c r="H30" s="3"/>
    </row>
    <row r="31" spans="1:46" ht="12.75" hidden="1" customHeight="1">
      <c r="A31" s="128"/>
      <c r="D31" s="127"/>
    </row>
    <row r="32" spans="1:46" ht="12.75" hidden="1" customHeight="1">
      <c r="A32" s="128"/>
      <c r="D32" s="127"/>
    </row>
    <row r="33" spans="1:4" ht="12.75" hidden="1" customHeight="1">
      <c r="A33" s="128"/>
      <c r="D33" s="127"/>
    </row>
    <row r="34" spans="1:4" ht="12.75" hidden="1" customHeight="1">
      <c r="A34" s="128"/>
      <c r="D34" s="127"/>
    </row>
    <row r="35" spans="1:4" ht="12.75" hidden="1" customHeight="1">
      <c r="A35" s="128"/>
      <c r="D35" s="127"/>
    </row>
    <row r="36" spans="1:4" ht="12.75" hidden="1" customHeight="1">
      <c r="A36" s="128"/>
      <c r="D36" s="127"/>
    </row>
    <row r="37" spans="1:4" ht="12.75" hidden="1" customHeight="1">
      <c r="A37" s="128"/>
      <c r="D37" s="127"/>
    </row>
    <row r="38" spans="1:4" ht="12.75" hidden="1" customHeight="1">
      <c r="A38" s="128"/>
      <c r="D38" s="127"/>
    </row>
    <row r="39" spans="1:4" ht="12.75" hidden="1" customHeight="1">
      <c r="A39" s="128"/>
      <c r="D39" s="127"/>
    </row>
    <row r="40" spans="1:4" ht="12.75" hidden="1" customHeight="1">
      <c r="A40" s="128"/>
      <c r="D40" s="127"/>
    </row>
    <row r="41" spans="1:4" ht="12.75" hidden="1" customHeight="1">
      <c r="A41" s="128"/>
      <c r="D41" s="127"/>
    </row>
    <row r="42" spans="1:4" ht="12.75" hidden="1" customHeight="1">
      <c r="A42" s="128"/>
      <c r="D42" s="127"/>
    </row>
    <row r="43" spans="1:4">
      <c r="A43" s="128"/>
      <c r="D43" s="127"/>
    </row>
  </sheetData>
  <mergeCells count="7">
    <mergeCell ref="A2:B2"/>
    <mergeCell ref="C2:D2"/>
    <mergeCell ref="AI1:AL1"/>
    <mergeCell ref="AM1:AP1"/>
    <mergeCell ref="N1:T1"/>
    <mergeCell ref="AB1:AH1"/>
    <mergeCell ref="U1:AA1"/>
  </mergeCells>
  <pageMargins left="0.7" right="0.7" top="0.75" bottom="0.75" header="0.3" footer="0.3"/>
  <pageSetup paperSize="9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43"/>
  <sheetViews>
    <sheetView view="pageBreakPreview" zoomScaleNormal="100" zoomScaleSheetLayoutView="100" workbookViewId="0">
      <selection activeCell="A3" sqref="A3:E14"/>
    </sheetView>
  </sheetViews>
  <sheetFormatPr defaultRowHeight="12.75"/>
  <cols>
    <col min="1" max="1" width="10.140625" style="3" bestFit="1" customWidth="1"/>
    <col min="2" max="3" width="15.5703125" style="3" bestFit="1" customWidth="1"/>
    <col min="4" max="4" width="4.7109375" style="3" bestFit="1" customWidth="1"/>
    <col min="5" max="5" width="0.85546875" customWidth="1"/>
    <col min="6" max="6" width="13.28515625" bestFit="1" customWidth="1"/>
    <col min="7" max="7" width="15.5703125" bestFit="1" customWidth="1"/>
    <col min="8" max="9" width="6.28515625" bestFit="1" customWidth="1"/>
    <col min="10" max="10" width="10.28515625" bestFit="1" customWidth="1"/>
    <col min="11" max="11" width="9.42578125" bestFit="1" customWidth="1"/>
    <col min="12" max="12" width="6.85546875" bestFit="1" customWidth="1"/>
    <col min="13" max="13" width="10.5703125" bestFit="1" customWidth="1"/>
    <col min="14" max="14" width="3.85546875" bestFit="1" customWidth="1"/>
    <col min="15" max="15" width="2" bestFit="1" customWidth="1"/>
    <col min="16" max="17" width="2.140625" bestFit="1" customWidth="1"/>
    <col min="18" max="18" width="6.85546875" bestFit="1" customWidth="1"/>
    <col min="19" max="19" width="10.5703125" bestFit="1" customWidth="1"/>
    <col min="20" max="20" width="5.140625" bestFit="1" customWidth="1"/>
    <col min="21" max="21" width="3.85546875" bestFit="1" customWidth="1"/>
    <col min="22" max="22" width="2" bestFit="1" customWidth="1"/>
    <col min="23" max="24" width="2.140625" bestFit="1" customWidth="1"/>
    <col min="25" max="25" width="6.85546875" bestFit="1" customWidth="1"/>
    <col min="26" max="26" width="10.5703125" bestFit="1" customWidth="1"/>
    <col min="27" max="27" width="5.140625" bestFit="1" customWidth="1"/>
    <col min="28" max="28" width="3.85546875" bestFit="1" customWidth="1"/>
    <col min="29" max="29" width="2" bestFit="1" customWidth="1"/>
    <col min="30" max="31" width="2.140625" bestFit="1" customWidth="1"/>
    <col min="32" max="32" width="6.85546875" bestFit="1" customWidth="1"/>
    <col min="33" max="33" width="10.5703125" bestFit="1" customWidth="1"/>
    <col min="34" max="34" width="5.140625" bestFit="1" customWidth="1"/>
    <col min="35" max="37" width="2" bestFit="1" customWidth="1"/>
    <col min="38" max="38" width="3.140625" bestFit="1" customWidth="1"/>
    <col min="39" max="41" width="2" bestFit="1" customWidth="1"/>
    <col min="42" max="42" width="3.140625" bestFit="1" customWidth="1"/>
    <col min="43" max="43" width="9.28515625" bestFit="1" customWidth="1"/>
    <col min="44" max="44" width="11" bestFit="1" customWidth="1"/>
    <col min="45" max="45" width="7.5703125" bestFit="1" customWidth="1"/>
    <col min="46" max="46" width="6.140625" style="3" bestFit="1" customWidth="1"/>
    <col min="47" max="47" width="6" style="3" bestFit="1" customWidth="1"/>
  </cols>
  <sheetData>
    <row r="1" spans="1:47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  <c r="N1" s="175" t="s">
        <v>14</v>
      </c>
      <c r="O1" s="176"/>
      <c r="P1" s="176"/>
      <c r="Q1" s="176"/>
      <c r="R1" s="176"/>
      <c r="S1" s="176"/>
      <c r="T1" s="177"/>
      <c r="U1" s="175" t="s">
        <v>15</v>
      </c>
      <c r="V1" s="176"/>
      <c r="W1" s="176"/>
      <c r="X1" s="176"/>
      <c r="Y1" s="176"/>
      <c r="Z1" s="176"/>
      <c r="AA1" s="177"/>
      <c r="AB1" s="175" t="s">
        <v>16</v>
      </c>
      <c r="AC1" s="176"/>
      <c r="AD1" s="176"/>
      <c r="AE1" s="176"/>
      <c r="AF1" s="176"/>
      <c r="AG1" s="176"/>
      <c r="AH1" s="177"/>
      <c r="AI1" s="167" t="s">
        <v>37</v>
      </c>
      <c r="AJ1" s="167"/>
      <c r="AK1" s="167"/>
      <c r="AL1" s="167"/>
      <c r="AM1" s="167" t="s">
        <v>38</v>
      </c>
      <c r="AN1" s="167"/>
      <c r="AO1" s="167"/>
      <c r="AP1" s="167"/>
      <c r="AQ1" s="41"/>
      <c r="AR1" s="41"/>
      <c r="AS1" s="41"/>
    </row>
    <row r="2" spans="1:47" ht="18" customHeight="1" thickBot="1">
      <c r="A2" s="172" t="s">
        <v>0</v>
      </c>
      <c r="B2" s="172"/>
      <c r="C2" s="172" t="str">
        <f>IF(F3=F4,F3,IF(F3=G4,F3,G3))</f>
        <v>Портленд</v>
      </c>
      <c r="D2" s="172"/>
      <c r="E2" s="41"/>
      <c r="F2" s="42" t="s">
        <v>1</v>
      </c>
      <c r="G2" s="42" t="s">
        <v>2</v>
      </c>
      <c r="H2" s="42" t="s">
        <v>3</v>
      </c>
      <c r="I2" s="42" t="s">
        <v>4</v>
      </c>
      <c r="J2" s="42" t="s">
        <v>5</v>
      </c>
      <c r="K2" s="42" t="s">
        <v>6</v>
      </c>
      <c r="L2" s="42" t="s">
        <v>7</v>
      </c>
      <c r="M2" s="42" t="s">
        <v>8</v>
      </c>
      <c r="N2" s="43" t="s">
        <v>9</v>
      </c>
      <c r="O2" s="43" t="s">
        <v>10</v>
      </c>
      <c r="P2" s="43" t="s">
        <v>11</v>
      </c>
      <c r="Q2" s="43" t="s">
        <v>12</v>
      </c>
      <c r="R2" s="43" t="s">
        <v>7</v>
      </c>
      <c r="S2" s="43" t="s">
        <v>8</v>
      </c>
      <c r="T2" s="43" t="s">
        <v>13</v>
      </c>
      <c r="U2" s="43" t="s">
        <v>9</v>
      </c>
      <c r="V2" s="43" t="s">
        <v>10</v>
      </c>
      <c r="W2" s="43" t="s">
        <v>11</v>
      </c>
      <c r="X2" s="43" t="s">
        <v>12</v>
      </c>
      <c r="Y2" s="43" t="s">
        <v>7</v>
      </c>
      <c r="Z2" s="43" t="s">
        <v>8</v>
      </c>
      <c r="AA2" s="43" t="s">
        <v>13</v>
      </c>
      <c r="AB2" s="43" t="s">
        <v>9</v>
      </c>
      <c r="AC2" s="43" t="s">
        <v>10</v>
      </c>
      <c r="AD2" s="43" t="s">
        <v>11</v>
      </c>
      <c r="AE2" s="43" t="s">
        <v>12</v>
      </c>
      <c r="AF2" s="43" t="s">
        <v>7</v>
      </c>
      <c r="AG2" s="43" t="s">
        <v>8</v>
      </c>
      <c r="AH2" s="43" t="s">
        <v>13</v>
      </c>
      <c r="AI2" s="44">
        <v>0</v>
      </c>
      <c r="AJ2" s="44">
        <v>1</v>
      </c>
      <c r="AK2" s="44">
        <v>2</v>
      </c>
      <c r="AL2" s="44" t="s">
        <v>36</v>
      </c>
      <c r="AM2" s="44">
        <v>0</v>
      </c>
      <c r="AN2" s="44">
        <v>1</v>
      </c>
      <c r="AO2" s="44">
        <v>2</v>
      </c>
      <c r="AP2" s="44" t="s">
        <v>36</v>
      </c>
      <c r="AQ2" s="44" t="s">
        <v>20</v>
      </c>
      <c r="AR2" s="44" t="s">
        <v>21</v>
      </c>
      <c r="AS2" s="44" t="s">
        <v>24</v>
      </c>
      <c r="AT2" s="119" t="s">
        <v>60</v>
      </c>
      <c r="AU2" s="111" t="s">
        <v>69</v>
      </c>
    </row>
    <row r="3" spans="1:47">
      <c r="A3" s="121" t="s">
        <v>239</v>
      </c>
      <c r="B3" s="121" t="s">
        <v>114</v>
      </c>
      <c r="C3" s="121" t="s">
        <v>216</v>
      </c>
      <c r="D3" s="121" t="s">
        <v>244</v>
      </c>
      <c r="E3" s="65"/>
      <c r="F3" s="77" t="str">
        <f t="shared" ref="F3:F22" si="0">B3</f>
        <v>Даллас</v>
      </c>
      <c r="G3" s="77" t="str">
        <f t="shared" ref="G3:G22" si="1">C3</f>
        <v>Портленд</v>
      </c>
      <c r="H3" s="46">
        <f t="shared" ref="H3:H22" si="2">VALUE(LEFT(D3,FIND(":",D3,1)-1))</f>
        <v>103</v>
      </c>
      <c r="I3" s="46">
        <f>VALUE(LEFT(RIGHT(D3,LEN(D3)-FIND(":",D3,1)),3))</f>
        <v>98</v>
      </c>
      <c r="J3" s="41" t="str">
        <f>IF(F3=$C$2,"Дома","В гостях")</f>
        <v>В гостях</v>
      </c>
      <c r="K3" s="41" t="str">
        <f t="shared" ref="K3:K22" si="3">IF(J3="Дома",IF(H3&gt;I3,"В",IF(H3=I3,"Н","П")),IF(H3&lt;I3,"В",IF(H3=I3,"Н","П")))</f>
        <v>П</v>
      </c>
      <c r="L3" s="46">
        <f t="shared" ref="L3:L22" si="4">IF(J3="Дома",H3,I3)</f>
        <v>98</v>
      </c>
      <c r="M3" s="46">
        <f t="shared" ref="M3:M22" si="5">IF(J3="Дома",I3,H3)</f>
        <v>103</v>
      </c>
      <c r="N3" s="78">
        <v>1</v>
      </c>
      <c r="O3" s="78">
        <f>IF(K3="В",1,0)</f>
        <v>0</v>
      </c>
      <c r="P3" s="78">
        <f>IF(K3="Н",1,0)</f>
        <v>0</v>
      </c>
      <c r="Q3" s="78">
        <f>IF(K3="П",1,0)</f>
        <v>1</v>
      </c>
      <c r="R3" s="78">
        <f>L3</f>
        <v>98</v>
      </c>
      <c r="S3" s="78">
        <f>M3</f>
        <v>103</v>
      </c>
      <c r="T3" s="78">
        <f t="shared" ref="T3:T22" si="6">O3*3+P3</f>
        <v>0</v>
      </c>
      <c r="U3" s="78">
        <f>IF(J3="Дома",1,0)</f>
        <v>0</v>
      </c>
      <c r="V3" s="78">
        <f>IF(J3="Дома",IF(K3="В",1,0),0)</f>
        <v>0</v>
      </c>
      <c r="W3" s="78">
        <f>IF(J3="Дома",IF(K3="Н",1,0),0)</f>
        <v>0</v>
      </c>
      <c r="X3" s="78">
        <f>IF(J3="Дома",IF(K3="П",1,0),0)</f>
        <v>0</v>
      </c>
      <c r="Y3" s="78">
        <f>IF(J3="Дома",L3,0)</f>
        <v>0</v>
      </c>
      <c r="Z3" s="78">
        <f>IF(J3="Дома",M3,0)</f>
        <v>0</v>
      </c>
      <c r="AA3" s="78">
        <f t="shared" ref="AA3:AA22" si="7">V3*3+W3</f>
        <v>0</v>
      </c>
      <c r="AB3" s="78">
        <f>IF(J3&lt;&gt;"Дома",1,0)</f>
        <v>1</v>
      </c>
      <c r="AC3" s="78">
        <f>IF(J3&lt;&gt;"Дома",IF(K3="В",1,0),0)</f>
        <v>0</v>
      </c>
      <c r="AD3" s="78">
        <f>IF(J3&lt;&gt;"Дома",IF(K3="Н",1,0),0)</f>
        <v>0</v>
      </c>
      <c r="AE3" s="78">
        <f>IF(J3&lt;&gt;"Дома",IF(K3="П",1,0),0)</f>
        <v>1</v>
      </c>
      <c r="AF3" s="78">
        <f>IF(J3&lt;&gt;"Дома",L3,0)</f>
        <v>98</v>
      </c>
      <c r="AG3" s="78">
        <f>IF(J3&lt;&gt;"Дома",M3,0)</f>
        <v>103</v>
      </c>
      <c r="AH3" s="79">
        <f t="shared" ref="AH3:AH22" si="8">AC3*3+AD3</f>
        <v>0</v>
      </c>
      <c r="AI3" s="47">
        <f>IF(J3="Дома",IF(L3=0,1,0),0)</f>
        <v>0</v>
      </c>
      <c r="AJ3" s="48">
        <f>IF(J3="Дома",IF(L3=1,1,0),0)</f>
        <v>0</v>
      </c>
      <c r="AK3" s="48">
        <f>IF(J3="Дома",IF(L3=2,1,0),0)</f>
        <v>0</v>
      </c>
      <c r="AL3" s="48">
        <f>IF(J3="Дома",IF(L3&gt;=3,1,0),0)</f>
        <v>0</v>
      </c>
      <c r="AM3" s="48">
        <f>IF(J3&lt;&gt;"Дома",IF(L3=0,1,0),0)</f>
        <v>0</v>
      </c>
      <c r="AN3" s="48">
        <f>IF(J3&lt;&gt;"Дома",IF(L3=1,1,0),0)</f>
        <v>0</v>
      </c>
      <c r="AO3" s="48">
        <f>IF(J3&lt;&gt;"Дома",IF(L3=2,1,0),0)</f>
        <v>0</v>
      </c>
      <c r="AP3" s="49">
        <f>IF(J3&lt;&gt;"Дома",IF(L3&gt;=3,1,0),0)</f>
        <v>1</v>
      </c>
      <c r="AQ3" s="50">
        <f t="shared" ref="AQ3:AQ22" si="9">R3/N3</f>
        <v>98</v>
      </c>
      <c r="AR3" s="51">
        <f>S3/N3</f>
        <v>103</v>
      </c>
      <c r="AS3" s="52">
        <f>(AA3/IF(U3&lt;1,1,U3)+AH3/IF(AB3&lt;1,1,AB3)*1.5+Y3/IF(U3&lt;1,1,U3)+AF3/IF(AB3&lt;1,1,AB3)*1.5-Z3/IF(U3&lt;1,1,U3)*1.5-AG3/IF(AB3&lt;1,1,AB3))/15</f>
        <v>2.9333333333333331</v>
      </c>
      <c r="AT3" s="82" t="str">
        <f t="shared" ref="AT3:AT22" si="10">IF(J3="В гостях",IF(K3="В","В",IF(K3="Н","Н","П")),"")</f>
        <v>П</v>
      </c>
      <c r="AU3" s="112">
        <f t="shared" ref="AU3:AU12" si="11">IF(J3&lt;&gt;"Дома",L3+M3,"")</f>
        <v>201</v>
      </c>
    </row>
    <row r="4" spans="1:47">
      <c r="A4" s="121" t="s">
        <v>240</v>
      </c>
      <c r="B4" s="121" t="s">
        <v>216</v>
      </c>
      <c r="C4" s="121" t="s">
        <v>230</v>
      </c>
      <c r="D4" s="121" t="s">
        <v>255</v>
      </c>
      <c r="E4" s="66"/>
      <c r="F4" s="77" t="str">
        <f t="shared" si="0"/>
        <v>Портленд</v>
      </c>
      <c r="G4" s="77" t="str">
        <f t="shared" si="1"/>
        <v>Атланта</v>
      </c>
      <c r="H4" s="46">
        <f t="shared" si="2"/>
        <v>102</v>
      </c>
      <c r="I4" s="46">
        <f t="shared" ref="I4:I12" si="12">VALUE(LEFT(RIGHT(D4,LEN(D4)-FIND(":",D4,1)),3))</f>
        <v>78</v>
      </c>
      <c r="J4" s="41" t="str">
        <f t="shared" ref="J4:J22" si="13">IF(F4=$C$2,"Дома","В гостях")</f>
        <v>Дома</v>
      </c>
      <c r="K4" s="41" t="str">
        <f t="shared" si="3"/>
        <v>В</v>
      </c>
      <c r="L4" s="46">
        <f t="shared" si="4"/>
        <v>102</v>
      </c>
      <c r="M4" s="46">
        <f t="shared" si="5"/>
        <v>78</v>
      </c>
      <c r="N4" s="78">
        <f t="shared" ref="N4:N22" si="14">N3+1</f>
        <v>2</v>
      </c>
      <c r="O4" s="78">
        <f t="shared" ref="O4:O22" si="15">IF(K4="В",O3+1,O3+0)</f>
        <v>1</v>
      </c>
      <c r="P4" s="78">
        <f t="shared" ref="P4:P22" si="16">IF(K4="Н",P3+1,P3+0)</f>
        <v>0</v>
      </c>
      <c r="Q4" s="78">
        <f t="shared" ref="Q4:Q22" si="17">IF(K4="П",Q3+1,Q3+0)</f>
        <v>1</v>
      </c>
      <c r="R4" s="78">
        <f t="shared" ref="R4:S22" si="18">L4+R3</f>
        <v>200</v>
      </c>
      <c r="S4" s="78">
        <f t="shared" si="18"/>
        <v>181</v>
      </c>
      <c r="T4" s="78">
        <f t="shared" si="6"/>
        <v>3</v>
      </c>
      <c r="U4" s="78">
        <f t="shared" ref="U4:U22" si="19">IF(J4="Дома",U3+1,U3+0)</f>
        <v>1</v>
      </c>
      <c r="V4" s="78">
        <f t="shared" ref="V4:V22" si="20">IF(J4="Дома",IF(K4="В",V3+1,V3+0),V3+0)</f>
        <v>1</v>
      </c>
      <c r="W4" s="78">
        <f t="shared" ref="W4:W22" si="21">IF(J4="Дома",IF(K4="Н",W3+1,W3+0),W3+0)</f>
        <v>0</v>
      </c>
      <c r="X4" s="78">
        <f t="shared" ref="X4:X22" si="22">IF(J4="Дома",IF(K4="П",X3+1,X3+0),X3+0)</f>
        <v>0</v>
      </c>
      <c r="Y4" s="78">
        <f t="shared" ref="Y4:Y22" si="23">IF(J4="Дома",Y3+L4,Y3+0)</f>
        <v>102</v>
      </c>
      <c r="Z4" s="78">
        <f t="shared" ref="Z4:Z22" si="24">IF(J4="Дома",Z3+M4,Z3+0)</f>
        <v>78</v>
      </c>
      <c r="AA4" s="78">
        <f t="shared" si="7"/>
        <v>3</v>
      </c>
      <c r="AB4" s="78">
        <f t="shared" ref="AB4:AB22" si="25">IF(J4&lt;&gt;"Дома",AB3+1,AB3+0)</f>
        <v>1</v>
      </c>
      <c r="AC4" s="78">
        <f t="shared" ref="AC4:AC22" si="26">IF(J4&lt;&gt;"Дома",IF(K4="В",AC3+1,AC3+0),AC3+0)</f>
        <v>0</v>
      </c>
      <c r="AD4" s="78">
        <f t="shared" ref="AD4:AD22" si="27">IF(J4&lt;&gt;"Дома",IF(K4="Н",AD3+1,AD3+0),AD3+0)</f>
        <v>0</v>
      </c>
      <c r="AE4" s="78">
        <f t="shared" ref="AE4:AE22" si="28">IF(J4&lt;&gt;"Дома",IF(K4="П",AE3+1,AE3+0),AE3+0)</f>
        <v>1</v>
      </c>
      <c r="AF4" s="78">
        <f t="shared" ref="AF4:AF22" si="29">IF(J4&lt;&gt;"Дома",AF3+L4,AF3+0)</f>
        <v>98</v>
      </c>
      <c r="AG4" s="78">
        <f t="shared" ref="AG4:AG22" si="30">IF(J4&lt;&gt;"Дома",AG3+M4,AG3+0)</f>
        <v>103</v>
      </c>
      <c r="AH4" s="79">
        <f t="shared" si="8"/>
        <v>0</v>
      </c>
      <c r="AI4" s="53">
        <f t="shared" ref="AI4:AI22" si="31">IF(J4="Дома",IF(L4=0,AI3+1,AI3),AI3)</f>
        <v>0</v>
      </c>
      <c r="AJ4" s="54">
        <f t="shared" ref="AJ4:AJ22" si="32">IF(J4="Дома",IF(L4=1,AJ3+1,AJ3),AJ3)</f>
        <v>0</v>
      </c>
      <c r="AK4" s="54">
        <f t="shared" ref="AK4:AK22" si="33">IF(J4="Дома",IF(L4=2,AK3+1,AK3),AK3)</f>
        <v>0</v>
      </c>
      <c r="AL4" s="54">
        <f t="shared" ref="AL4:AL22" si="34">IF(J4="Дома",IF(L4&gt;=3,AL3+1,AL3),AL3)</f>
        <v>1</v>
      </c>
      <c r="AM4" s="54">
        <f t="shared" ref="AM4:AM22" si="35">IF(J4&lt;&gt;"Дома",IF(L4=0,AM3+1,AM3),AM3)</f>
        <v>0</v>
      </c>
      <c r="AN4" s="54">
        <f t="shared" ref="AN4:AN22" si="36">IF(J4&lt;&gt;"Дома",IF(L4=1,AN3+1,AN3),AN3)</f>
        <v>0</v>
      </c>
      <c r="AO4" s="54">
        <f t="shared" ref="AO4:AO22" si="37">IF(J4&lt;&gt;"Дома",IF(L4=2,AO3+1,AO3),AO3)</f>
        <v>0</v>
      </c>
      <c r="AP4" s="55">
        <f t="shared" ref="AP4:AP22" si="38">IF(J4&lt;&gt;"Дома",IF(L4&gt;=3,AP3+1,AP3),AP3)</f>
        <v>1</v>
      </c>
      <c r="AQ4" s="56">
        <f t="shared" si="9"/>
        <v>100</v>
      </c>
      <c r="AR4" s="57">
        <f t="shared" ref="AR4:AR22" si="39">S4/N4</f>
        <v>90.5</v>
      </c>
      <c r="AS4" s="58">
        <f t="shared" ref="AS4:AS22" si="40">(AA4/IF(U4&lt;1,1,U4)+AH4/IF(AB4&lt;1,1,AB4)*1.5+Y4/IF(U4&lt;1,1,U4)+AF4/IF(AB4&lt;1,1,AB4)*1.5-Z4/IF(U4&lt;1,1,U4)*1.5-AG4/IF(AB4&lt;1,1,AB4))/15</f>
        <v>2.1333333333333333</v>
      </c>
      <c r="AT4" s="82" t="str">
        <f t="shared" si="10"/>
        <v/>
      </c>
      <c r="AU4" s="112" t="str">
        <f t="shared" si="11"/>
        <v/>
      </c>
    </row>
    <row r="5" spans="1:47">
      <c r="A5" s="121" t="s">
        <v>233</v>
      </c>
      <c r="B5" s="121" t="s">
        <v>216</v>
      </c>
      <c r="C5" s="121" t="s">
        <v>223</v>
      </c>
      <c r="D5" s="121" t="s">
        <v>224</v>
      </c>
      <c r="E5" s="66"/>
      <c r="F5" s="77" t="str">
        <f t="shared" si="0"/>
        <v>Портленд</v>
      </c>
      <c r="G5" s="77" t="str">
        <f t="shared" si="1"/>
        <v>Лейкерс</v>
      </c>
      <c r="H5" s="46">
        <f t="shared" si="2"/>
        <v>106</v>
      </c>
      <c r="I5" s="46">
        <f t="shared" si="12"/>
        <v>107</v>
      </c>
      <c r="J5" s="41" t="str">
        <f t="shared" si="13"/>
        <v>Дома</v>
      </c>
      <c r="K5" s="41" t="str">
        <f t="shared" si="3"/>
        <v>П</v>
      </c>
      <c r="L5" s="46">
        <f t="shared" si="4"/>
        <v>106</v>
      </c>
      <c r="M5" s="46">
        <f t="shared" si="5"/>
        <v>107</v>
      </c>
      <c r="N5" s="78">
        <f t="shared" si="14"/>
        <v>3</v>
      </c>
      <c r="O5" s="78">
        <f t="shared" si="15"/>
        <v>1</v>
      </c>
      <c r="P5" s="78">
        <f t="shared" si="16"/>
        <v>0</v>
      </c>
      <c r="Q5" s="78">
        <f t="shared" si="17"/>
        <v>2</v>
      </c>
      <c r="R5" s="78">
        <f t="shared" si="18"/>
        <v>306</v>
      </c>
      <c r="S5" s="78">
        <f t="shared" si="18"/>
        <v>288</v>
      </c>
      <c r="T5" s="78">
        <f t="shared" si="6"/>
        <v>3</v>
      </c>
      <c r="U5" s="78">
        <f t="shared" si="19"/>
        <v>2</v>
      </c>
      <c r="V5" s="78">
        <f t="shared" si="20"/>
        <v>1</v>
      </c>
      <c r="W5" s="78">
        <f t="shared" si="21"/>
        <v>0</v>
      </c>
      <c r="X5" s="78">
        <f t="shared" si="22"/>
        <v>1</v>
      </c>
      <c r="Y5" s="78">
        <f t="shared" si="23"/>
        <v>208</v>
      </c>
      <c r="Z5" s="78">
        <f t="shared" si="24"/>
        <v>185</v>
      </c>
      <c r="AA5" s="78">
        <f t="shared" si="7"/>
        <v>3</v>
      </c>
      <c r="AB5" s="78">
        <f t="shared" si="25"/>
        <v>1</v>
      </c>
      <c r="AC5" s="78">
        <f t="shared" si="26"/>
        <v>0</v>
      </c>
      <c r="AD5" s="78">
        <f t="shared" si="27"/>
        <v>0</v>
      </c>
      <c r="AE5" s="78">
        <f t="shared" si="28"/>
        <v>1</v>
      </c>
      <c r="AF5" s="78">
        <f t="shared" si="29"/>
        <v>98</v>
      </c>
      <c r="AG5" s="78">
        <f t="shared" si="30"/>
        <v>103</v>
      </c>
      <c r="AH5" s="79">
        <f t="shared" si="8"/>
        <v>0</v>
      </c>
      <c r="AI5" s="53">
        <f t="shared" si="31"/>
        <v>0</v>
      </c>
      <c r="AJ5" s="54">
        <f t="shared" si="32"/>
        <v>0</v>
      </c>
      <c r="AK5" s="54">
        <f t="shared" si="33"/>
        <v>0</v>
      </c>
      <c r="AL5" s="54">
        <f t="shared" si="34"/>
        <v>2</v>
      </c>
      <c r="AM5" s="54">
        <f t="shared" si="35"/>
        <v>0</v>
      </c>
      <c r="AN5" s="54">
        <f t="shared" si="36"/>
        <v>0</v>
      </c>
      <c r="AO5" s="54">
        <f t="shared" si="37"/>
        <v>0</v>
      </c>
      <c r="AP5" s="55">
        <f t="shared" si="38"/>
        <v>1</v>
      </c>
      <c r="AQ5" s="56">
        <f t="shared" si="9"/>
        <v>102</v>
      </c>
      <c r="AR5" s="57">
        <f t="shared" si="39"/>
        <v>96</v>
      </c>
      <c r="AS5" s="58">
        <f t="shared" si="40"/>
        <v>0.71666666666666667</v>
      </c>
      <c r="AT5" s="82" t="str">
        <f t="shared" si="10"/>
        <v/>
      </c>
      <c r="AU5" s="112" t="str">
        <f t="shared" si="11"/>
        <v/>
      </c>
    </row>
    <row r="6" spans="1:47">
      <c r="A6" s="121" t="s">
        <v>218</v>
      </c>
      <c r="B6" s="121" t="s">
        <v>216</v>
      </c>
      <c r="C6" s="121" t="s">
        <v>222</v>
      </c>
      <c r="D6" s="121" t="s">
        <v>221</v>
      </c>
      <c r="E6" s="66"/>
      <c r="F6" s="77" t="str">
        <f t="shared" si="0"/>
        <v>Портленд</v>
      </c>
      <c r="G6" s="77" t="str">
        <f t="shared" si="1"/>
        <v>Денвер</v>
      </c>
      <c r="H6" s="46">
        <f t="shared" si="2"/>
        <v>102</v>
      </c>
      <c r="I6" s="46">
        <f t="shared" si="12"/>
        <v>96</v>
      </c>
      <c r="J6" s="41" t="str">
        <f t="shared" si="13"/>
        <v>Дома</v>
      </c>
      <c r="K6" s="41" t="str">
        <f t="shared" si="3"/>
        <v>В</v>
      </c>
      <c r="L6" s="46">
        <f t="shared" si="4"/>
        <v>102</v>
      </c>
      <c r="M6" s="46">
        <f t="shared" si="5"/>
        <v>96</v>
      </c>
      <c r="N6" s="78">
        <f t="shared" si="14"/>
        <v>4</v>
      </c>
      <c r="O6" s="78">
        <f t="shared" si="15"/>
        <v>2</v>
      </c>
      <c r="P6" s="78">
        <f t="shared" si="16"/>
        <v>0</v>
      </c>
      <c r="Q6" s="78">
        <f t="shared" si="17"/>
        <v>2</v>
      </c>
      <c r="R6" s="78">
        <f t="shared" si="18"/>
        <v>408</v>
      </c>
      <c r="S6" s="78">
        <f t="shared" si="18"/>
        <v>384</v>
      </c>
      <c r="T6" s="78">
        <f t="shared" si="6"/>
        <v>6</v>
      </c>
      <c r="U6" s="78">
        <f t="shared" si="19"/>
        <v>3</v>
      </c>
      <c r="V6" s="78">
        <f t="shared" si="20"/>
        <v>2</v>
      </c>
      <c r="W6" s="78">
        <f t="shared" si="21"/>
        <v>0</v>
      </c>
      <c r="X6" s="78">
        <f t="shared" si="22"/>
        <v>1</v>
      </c>
      <c r="Y6" s="78">
        <f t="shared" si="23"/>
        <v>310</v>
      </c>
      <c r="Z6" s="78">
        <f t="shared" si="24"/>
        <v>281</v>
      </c>
      <c r="AA6" s="78">
        <f t="shared" si="7"/>
        <v>6</v>
      </c>
      <c r="AB6" s="78">
        <f t="shared" si="25"/>
        <v>1</v>
      </c>
      <c r="AC6" s="78">
        <f t="shared" si="26"/>
        <v>0</v>
      </c>
      <c r="AD6" s="78">
        <f t="shared" si="27"/>
        <v>0</v>
      </c>
      <c r="AE6" s="78">
        <f t="shared" si="28"/>
        <v>1</v>
      </c>
      <c r="AF6" s="78">
        <f t="shared" si="29"/>
        <v>98</v>
      </c>
      <c r="AG6" s="78">
        <f t="shared" si="30"/>
        <v>103</v>
      </c>
      <c r="AH6" s="79">
        <f t="shared" si="8"/>
        <v>0</v>
      </c>
      <c r="AI6" s="53">
        <f t="shared" si="31"/>
        <v>0</v>
      </c>
      <c r="AJ6" s="54">
        <f t="shared" si="32"/>
        <v>0</v>
      </c>
      <c r="AK6" s="54">
        <f t="shared" si="33"/>
        <v>0</v>
      </c>
      <c r="AL6" s="54">
        <f t="shared" si="34"/>
        <v>3</v>
      </c>
      <c r="AM6" s="54">
        <f t="shared" si="35"/>
        <v>0</v>
      </c>
      <c r="AN6" s="54">
        <f t="shared" si="36"/>
        <v>0</v>
      </c>
      <c r="AO6" s="54">
        <f t="shared" si="37"/>
        <v>0</v>
      </c>
      <c r="AP6" s="55">
        <f t="shared" si="38"/>
        <v>1</v>
      </c>
      <c r="AQ6" s="56">
        <f t="shared" si="9"/>
        <v>102</v>
      </c>
      <c r="AR6" s="57">
        <f t="shared" si="39"/>
        <v>96</v>
      </c>
      <c r="AS6" s="58">
        <f t="shared" si="40"/>
        <v>0.58888888888888757</v>
      </c>
      <c r="AT6" s="82" t="str">
        <f t="shared" si="10"/>
        <v/>
      </c>
      <c r="AU6" s="112" t="str">
        <f t="shared" si="11"/>
        <v/>
      </c>
    </row>
    <row r="7" spans="1:47">
      <c r="A7" s="121" t="s">
        <v>211</v>
      </c>
      <c r="B7" s="121" t="s">
        <v>216</v>
      </c>
      <c r="C7" s="121" t="s">
        <v>212</v>
      </c>
      <c r="D7" s="121" t="s">
        <v>256</v>
      </c>
      <c r="E7" s="66"/>
      <c r="F7" s="77" t="str">
        <f t="shared" si="0"/>
        <v>Портленд</v>
      </c>
      <c r="G7" s="77" t="str">
        <f t="shared" si="1"/>
        <v>Бруклин</v>
      </c>
      <c r="H7" s="46">
        <f t="shared" si="2"/>
        <v>124</v>
      </c>
      <c r="I7" s="46">
        <f t="shared" si="12"/>
        <v>80</v>
      </c>
      <c r="J7" s="41" t="str">
        <f t="shared" si="13"/>
        <v>Дома</v>
      </c>
      <c r="K7" s="41" t="str">
        <f t="shared" si="3"/>
        <v>В</v>
      </c>
      <c r="L7" s="46">
        <f t="shared" si="4"/>
        <v>124</v>
      </c>
      <c r="M7" s="46">
        <f t="shared" si="5"/>
        <v>80</v>
      </c>
      <c r="N7" s="78">
        <f t="shared" si="14"/>
        <v>5</v>
      </c>
      <c r="O7" s="78">
        <f t="shared" si="15"/>
        <v>3</v>
      </c>
      <c r="P7" s="78">
        <f t="shared" si="16"/>
        <v>0</v>
      </c>
      <c r="Q7" s="78">
        <f t="shared" si="17"/>
        <v>2</v>
      </c>
      <c r="R7" s="78">
        <f t="shared" si="18"/>
        <v>532</v>
      </c>
      <c r="S7" s="78">
        <f t="shared" si="18"/>
        <v>464</v>
      </c>
      <c r="T7" s="78">
        <f t="shared" si="6"/>
        <v>9</v>
      </c>
      <c r="U7" s="78">
        <f t="shared" si="19"/>
        <v>4</v>
      </c>
      <c r="V7" s="78">
        <f t="shared" si="20"/>
        <v>3</v>
      </c>
      <c r="W7" s="78">
        <f t="shared" si="21"/>
        <v>0</v>
      </c>
      <c r="X7" s="78">
        <f t="shared" si="22"/>
        <v>1</v>
      </c>
      <c r="Y7" s="78">
        <f t="shared" si="23"/>
        <v>434</v>
      </c>
      <c r="Z7" s="78">
        <f t="shared" si="24"/>
        <v>361</v>
      </c>
      <c r="AA7" s="78">
        <f t="shared" si="7"/>
        <v>9</v>
      </c>
      <c r="AB7" s="78">
        <f t="shared" si="25"/>
        <v>1</v>
      </c>
      <c r="AC7" s="78">
        <f t="shared" si="26"/>
        <v>0</v>
      </c>
      <c r="AD7" s="78">
        <f t="shared" si="27"/>
        <v>0</v>
      </c>
      <c r="AE7" s="78">
        <f t="shared" si="28"/>
        <v>1</v>
      </c>
      <c r="AF7" s="78">
        <f t="shared" si="29"/>
        <v>98</v>
      </c>
      <c r="AG7" s="78">
        <f t="shared" si="30"/>
        <v>103</v>
      </c>
      <c r="AH7" s="79">
        <f t="shared" si="8"/>
        <v>0</v>
      </c>
      <c r="AI7" s="53">
        <f t="shared" si="31"/>
        <v>0</v>
      </c>
      <c r="AJ7" s="54">
        <f t="shared" si="32"/>
        <v>0</v>
      </c>
      <c r="AK7" s="54">
        <f t="shared" si="33"/>
        <v>0</v>
      </c>
      <c r="AL7" s="54">
        <f t="shared" si="34"/>
        <v>4</v>
      </c>
      <c r="AM7" s="54">
        <f t="shared" si="35"/>
        <v>0</v>
      </c>
      <c r="AN7" s="54">
        <f t="shared" si="36"/>
        <v>0</v>
      </c>
      <c r="AO7" s="54">
        <f t="shared" si="37"/>
        <v>0</v>
      </c>
      <c r="AP7" s="55">
        <f t="shared" si="38"/>
        <v>1</v>
      </c>
      <c r="AQ7" s="56">
        <f t="shared" si="9"/>
        <v>106.4</v>
      </c>
      <c r="AR7" s="57">
        <f t="shared" si="39"/>
        <v>92.8</v>
      </c>
      <c r="AS7" s="58">
        <f t="shared" si="40"/>
        <v>1.2916666666666667</v>
      </c>
      <c r="AT7" s="82" t="str">
        <f t="shared" si="10"/>
        <v/>
      </c>
      <c r="AU7" s="112" t="str">
        <f t="shared" si="11"/>
        <v/>
      </c>
    </row>
    <row r="8" spans="1:47">
      <c r="A8" s="121" t="s">
        <v>246</v>
      </c>
      <c r="B8" s="121" t="s">
        <v>222</v>
      </c>
      <c r="C8" s="121" t="s">
        <v>216</v>
      </c>
      <c r="D8" s="121" t="s">
        <v>257</v>
      </c>
      <c r="E8" s="66"/>
      <c r="F8" s="77" t="str">
        <f t="shared" si="0"/>
        <v>Денвер</v>
      </c>
      <c r="G8" s="77" t="str">
        <f t="shared" si="1"/>
        <v>Портленд</v>
      </c>
      <c r="H8" s="46">
        <f t="shared" si="2"/>
        <v>95</v>
      </c>
      <c r="I8" s="46">
        <f t="shared" si="12"/>
        <v>100</v>
      </c>
      <c r="J8" s="41" t="str">
        <f t="shared" si="13"/>
        <v>В гостях</v>
      </c>
      <c r="K8" s="41" t="str">
        <f t="shared" si="3"/>
        <v>В</v>
      </c>
      <c r="L8" s="46">
        <f t="shared" si="4"/>
        <v>100</v>
      </c>
      <c r="M8" s="46">
        <f t="shared" si="5"/>
        <v>95</v>
      </c>
      <c r="N8" s="78">
        <f t="shared" si="14"/>
        <v>6</v>
      </c>
      <c r="O8" s="78">
        <f t="shared" si="15"/>
        <v>4</v>
      </c>
      <c r="P8" s="78">
        <f t="shared" si="16"/>
        <v>0</v>
      </c>
      <c r="Q8" s="78">
        <f t="shared" si="17"/>
        <v>2</v>
      </c>
      <c r="R8" s="78">
        <f t="shared" si="18"/>
        <v>632</v>
      </c>
      <c r="S8" s="78">
        <f t="shared" si="18"/>
        <v>559</v>
      </c>
      <c r="T8" s="78">
        <f t="shared" si="6"/>
        <v>12</v>
      </c>
      <c r="U8" s="78">
        <f t="shared" si="19"/>
        <v>4</v>
      </c>
      <c r="V8" s="78">
        <f t="shared" si="20"/>
        <v>3</v>
      </c>
      <c r="W8" s="78">
        <f t="shared" si="21"/>
        <v>0</v>
      </c>
      <c r="X8" s="78">
        <f t="shared" si="22"/>
        <v>1</v>
      </c>
      <c r="Y8" s="78">
        <f t="shared" si="23"/>
        <v>434</v>
      </c>
      <c r="Z8" s="78">
        <f t="shared" si="24"/>
        <v>361</v>
      </c>
      <c r="AA8" s="78">
        <f t="shared" si="7"/>
        <v>9</v>
      </c>
      <c r="AB8" s="78">
        <f t="shared" si="25"/>
        <v>2</v>
      </c>
      <c r="AC8" s="78">
        <f t="shared" si="26"/>
        <v>1</v>
      </c>
      <c r="AD8" s="78">
        <f t="shared" si="27"/>
        <v>0</v>
      </c>
      <c r="AE8" s="78">
        <f t="shared" si="28"/>
        <v>1</v>
      </c>
      <c r="AF8" s="78">
        <f t="shared" si="29"/>
        <v>198</v>
      </c>
      <c r="AG8" s="78">
        <f t="shared" si="30"/>
        <v>198</v>
      </c>
      <c r="AH8" s="79">
        <f t="shared" si="8"/>
        <v>3</v>
      </c>
      <c r="AI8" s="53">
        <f t="shared" si="31"/>
        <v>0</v>
      </c>
      <c r="AJ8" s="54">
        <f t="shared" si="32"/>
        <v>0</v>
      </c>
      <c r="AK8" s="54">
        <f t="shared" si="33"/>
        <v>0</v>
      </c>
      <c r="AL8" s="54">
        <f t="shared" si="34"/>
        <v>4</v>
      </c>
      <c r="AM8" s="54">
        <f t="shared" si="35"/>
        <v>0</v>
      </c>
      <c r="AN8" s="54">
        <f t="shared" si="36"/>
        <v>0</v>
      </c>
      <c r="AO8" s="54">
        <f t="shared" si="37"/>
        <v>0</v>
      </c>
      <c r="AP8" s="55">
        <f t="shared" si="38"/>
        <v>2</v>
      </c>
      <c r="AQ8" s="56">
        <f t="shared" si="9"/>
        <v>105.33333333333333</v>
      </c>
      <c r="AR8" s="57">
        <f t="shared" si="39"/>
        <v>93.166666666666671</v>
      </c>
      <c r="AS8" s="58">
        <f t="shared" si="40"/>
        <v>1.8083333333333333</v>
      </c>
      <c r="AT8" s="82" t="str">
        <f t="shared" si="10"/>
        <v>В</v>
      </c>
      <c r="AU8" s="112">
        <f t="shared" si="11"/>
        <v>195</v>
      </c>
    </row>
    <row r="9" spans="1:47">
      <c r="A9" s="121" t="s">
        <v>235</v>
      </c>
      <c r="B9" s="121" t="s">
        <v>216</v>
      </c>
      <c r="C9" s="121" t="s">
        <v>119</v>
      </c>
      <c r="D9" s="121" t="s">
        <v>258</v>
      </c>
      <c r="E9" s="66"/>
      <c r="F9" s="77" t="str">
        <f t="shared" si="0"/>
        <v>Портленд</v>
      </c>
      <c r="G9" s="77" t="str">
        <f t="shared" si="1"/>
        <v>Миннесота</v>
      </c>
      <c r="H9" s="46">
        <f t="shared" si="2"/>
        <v>108</v>
      </c>
      <c r="I9" s="46">
        <f t="shared" si="12"/>
        <v>97</v>
      </c>
      <c r="J9" s="41" t="str">
        <f t="shared" si="13"/>
        <v>Дома</v>
      </c>
      <c r="K9" s="41" t="str">
        <f t="shared" si="3"/>
        <v>В</v>
      </c>
      <c r="L9" s="46">
        <f t="shared" si="4"/>
        <v>108</v>
      </c>
      <c r="M9" s="46">
        <f t="shared" si="5"/>
        <v>97</v>
      </c>
      <c r="N9" s="78">
        <f t="shared" si="14"/>
        <v>7</v>
      </c>
      <c r="O9" s="78">
        <f t="shared" si="15"/>
        <v>5</v>
      </c>
      <c r="P9" s="78">
        <f t="shared" si="16"/>
        <v>0</v>
      </c>
      <c r="Q9" s="78">
        <f t="shared" si="17"/>
        <v>2</v>
      </c>
      <c r="R9" s="78">
        <f t="shared" si="18"/>
        <v>740</v>
      </c>
      <c r="S9" s="78">
        <f t="shared" si="18"/>
        <v>656</v>
      </c>
      <c r="T9" s="78">
        <f t="shared" si="6"/>
        <v>15</v>
      </c>
      <c r="U9" s="78">
        <f t="shared" si="19"/>
        <v>5</v>
      </c>
      <c r="V9" s="78">
        <f t="shared" si="20"/>
        <v>4</v>
      </c>
      <c r="W9" s="78">
        <f t="shared" si="21"/>
        <v>0</v>
      </c>
      <c r="X9" s="78">
        <f t="shared" si="22"/>
        <v>1</v>
      </c>
      <c r="Y9" s="78">
        <f t="shared" si="23"/>
        <v>542</v>
      </c>
      <c r="Z9" s="78">
        <f t="shared" si="24"/>
        <v>458</v>
      </c>
      <c r="AA9" s="78">
        <f t="shared" si="7"/>
        <v>12</v>
      </c>
      <c r="AB9" s="78">
        <f t="shared" si="25"/>
        <v>2</v>
      </c>
      <c r="AC9" s="78">
        <f t="shared" si="26"/>
        <v>1</v>
      </c>
      <c r="AD9" s="78">
        <f t="shared" si="27"/>
        <v>0</v>
      </c>
      <c r="AE9" s="78">
        <f t="shared" si="28"/>
        <v>1</v>
      </c>
      <c r="AF9" s="78">
        <f t="shared" si="29"/>
        <v>198</v>
      </c>
      <c r="AG9" s="78">
        <f t="shared" si="30"/>
        <v>198</v>
      </c>
      <c r="AH9" s="79">
        <f t="shared" si="8"/>
        <v>3</v>
      </c>
      <c r="AI9" s="53">
        <f t="shared" si="31"/>
        <v>0</v>
      </c>
      <c r="AJ9" s="54">
        <f t="shared" si="32"/>
        <v>0</v>
      </c>
      <c r="AK9" s="54">
        <f t="shared" si="33"/>
        <v>0</v>
      </c>
      <c r="AL9" s="54">
        <f t="shared" si="34"/>
        <v>5</v>
      </c>
      <c r="AM9" s="54">
        <f t="shared" si="35"/>
        <v>0</v>
      </c>
      <c r="AN9" s="54">
        <f t="shared" si="36"/>
        <v>0</v>
      </c>
      <c r="AO9" s="54">
        <f t="shared" si="37"/>
        <v>0</v>
      </c>
      <c r="AP9" s="55">
        <f t="shared" si="38"/>
        <v>2</v>
      </c>
      <c r="AQ9" s="56">
        <f t="shared" si="9"/>
        <v>105.71428571428571</v>
      </c>
      <c r="AR9" s="57">
        <f t="shared" si="39"/>
        <v>93.714285714285708</v>
      </c>
      <c r="AS9" s="58">
        <f t="shared" si="40"/>
        <v>1.676666666666669</v>
      </c>
      <c r="AT9" s="82" t="str">
        <f t="shared" si="10"/>
        <v/>
      </c>
      <c r="AU9" s="112" t="str">
        <f t="shared" si="11"/>
        <v/>
      </c>
    </row>
    <row r="10" spans="1:47">
      <c r="A10" s="121" t="s">
        <v>227</v>
      </c>
      <c r="B10" s="121" t="s">
        <v>216</v>
      </c>
      <c r="C10" s="121" t="s">
        <v>220</v>
      </c>
      <c r="D10" s="121" t="s">
        <v>259</v>
      </c>
      <c r="E10" s="66"/>
      <c r="F10" s="77" t="str">
        <f t="shared" si="0"/>
        <v>Портленд</v>
      </c>
      <c r="G10" s="77" t="str">
        <f t="shared" si="1"/>
        <v>Юта</v>
      </c>
      <c r="H10" s="46">
        <f t="shared" si="2"/>
        <v>102</v>
      </c>
      <c r="I10" s="46">
        <f t="shared" si="12"/>
        <v>94</v>
      </c>
      <c r="J10" s="41" t="str">
        <f t="shared" si="13"/>
        <v>Дома</v>
      </c>
      <c r="K10" s="41" t="str">
        <f t="shared" si="3"/>
        <v>В</v>
      </c>
      <c r="L10" s="46">
        <f t="shared" si="4"/>
        <v>102</v>
      </c>
      <c r="M10" s="46">
        <f t="shared" si="5"/>
        <v>94</v>
      </c>
      <c r="N10" s="78">
        <f t="shared" si="14"/>
        <v>8</v>
      </c>
      <c r="O10" s="78">
        <f t="shared" si="15"/>
        <v>6</v>
      </c>
      <c r="P10" s="78">
        <f t="shared" si="16"/>
        <v>0</v>
      </c>
      <c r="Q10" s="78">
        <f t="shared" si="17"/>
        <v>2</v>
      </c>
      <c r="R10" s="78">
        <f t="shared" si="18"/>
        <v>842</v>
      </c>
      <c r="S10" s="78">
        <f t="shared" si="18"/>
        <v>750</v>
      </c>
      <c r="T10" s="78">
        <f t="shared" si="6"/>
        <v>18</v>
      </c>
      <c r="U10" s="78">
        <f t="shared" si="19"/>
        <v>6</v>
      </c>
      <c r="V10" s="78">
        <f t="shared" si="20"/>
        <v>5</v>
      </c>
      <c r="W10" s="78">
        <f t="shared" si="21"/>
        <v>0</v>
      </c>
      <c r="X10" s="78">
        <f t="shared" si="22"/>
        <v>1</v>
      </c>
      <c r="Y10" s="78">
        <f t="shared" si="23"/>
        <v>644</v>
      </c>
      <c r="Z10" s="78">
        <f t="shared" si="24"/>
        <v>552</v>
      </c>
      <c r="AA10" s="78">
        <f t="shared" si="7"/>
        <v>15</v>
      </c>
      <c r="AB10" s="78">
        <f t="shared" si="25"/>
        <v>2</v>
      </c>
      <c r="AC10" s="78">
        <f t="shared" si="26"/>
        <v>1</v>
      </c>
      <c r="AD10" s="78">
        <f t="shared" si="27"/>
        <v>0</v>
      </c>
      <c r="AE10" s="78">
        <f t="shared" si="28"/>
        <v>1</v>
      </c>
      <c r="AF10" s="78">
        <f t="shared" si="29"/>
        <v>198</v>
      </c>
      <c r="AG10" s="78">
        <f t="shared" si="30"/>
        <v>198</v>
      </c>
      <c r="AH10" s="79">
        <f t="shared" si="8"/>
        <v>3</v>
      </c>
      <c r="AI10" s="53">
        <f t="shared" si="31"/>
        <v>0</v>
      </c>
      <c r="AJ10" s="54">
        <f t="shared" si="32"/>
        <v>0</v>
      </c>
      <c r="AK10" s="54">
        <f t="shared" si="33"/>
        <v>0</v>
      </c>
      <c r="AL10" s="54">
        <f t="shared" si="34"/>
        <v>6</v>
      </c>
      <c r="AM10" s="54">
        <f t="shared" si="35"/>
        <v>0</v>
      </c>
      <c r="AN10" s="54">
        <f t="shared" si="36"/>
        <v>0</v>
      </c>
      <c r="AO10" s="54">
        <f t="shared" si="37"/>
        <v>0</v>
      </c>
      <c r="AP10" s="55">
        <f t="shared" si="38"/>
        <v>2</v>
      </c>
      <c r="AQ10" s="56">
        <f t="shared" si="9"/>
        <v>105.25</v>
      </c>
      <c r="AR10" s="57">
        <f t="shared" si="39"/>
        <v>93.75</v>
      </c>
      <c r="AS10" s="58">
        <f t="shared" si="40"/>
        <v>1.5722222222222209</v>
      </c>
      <c r="AT10" s="82" t="str">
        <f t="shared" si="10"/>
        <v/>
      </c>
      <c r="AU10" s="112" t="str">
        <f t="shared" si="11"/>
        <v/>
      </c>
    </row>
    <row r="11" spans="1:47">
      <c r="A11" s="121" t="s">
        <v>242</v>
      </c>
      <c r="B11" s="121" t="s">
        <v>216</v>
      </c>
      <c r="C11" s="121" t="s">
        <v>215</v>
      </c>
      <c r="D11" s="121" t="s">
        <v>260</v>
      </c>
      <c r="E11" s="66"/>
      <c r="F11" s="77" t="str">
        <f t="shared" si="0"/>
        <v>Портленд</v>
      </c>
      <c r="G11" s="77" t="str">
        <f t="shared" si="1"/>
        <v>Сан-Антонио</v>
      </c>
      <c r="H11" s="46">
        <f t="shared" si="2"/>
        <v>109</v>
      </c>
      <c r="I11" s="46">
        <f t="shared" si="12"/>
        <v>111</v>
      </c>
      <c r="J11" s="41" t="str">
        <f t="shared" si="13"/>
        <v>Дома</v>
      </c>
      <c r="K11" s="41" t="str">
        <f t="shared" si="3"/>
        <v>П</v>
      </c>
      <c r="L11" s="46">
        <f t="shared" si="4"/>
        <v>109</v>
      </c>
      <c r="M11" s="46">
        <f t="shared" si="5"/>
        <v>111</v>
      </c>
      <c r="N11" s="78">
        <f t="shared" si="14"/>
        <v>9</v>
      </c>
      <c r="O11" s="78">
        <f t="shared" si="15"/>
        <v>6</v>
      </c>
      <c r="P11" s="78">
        <f t="shared" si="16"/>
        <v>0</v>
      </c>
      <c r="Q11" s="78">
        <f t="shared" si="17"/>
        <v>3</v>
      </c>
      <c r="R11" s="78">
        <f t="shared" si="18"/>
        <v>951</v>
      </c>
      <c r="S11" s="78">
        <f t="shared" si="18"/>
        <v>861</v>
      </c>
      <c r="T11" s="78">
        <f t="shared" si="6"/>
        <v>18</v>
      </c>
      <c r="U11" s="78">
        <f t="shared" si="19"/>
        <v>7</v>
      </c>
      <c r="V11" s="78">
        <f t="shared" si="20"/>
        <v>5</v>
      </c>
      <c r="W11" s="78">
        <f t="shared" si="21"/>
        <v>0</v>
      </c>
      <c r="X11" s="78">
        <f t="shared" si="22"/>
        <v>2</v>
      </c>
      <c r="Y11" s="78">
        <f t="shared" si="23"/>
        <v>753</v>
      </c>
      <c r="Z11" s="78">
        <f t="shared" si="24"/>
        <v>663</v>
      </c>
      <c r="AA11" s="78">
        <f t="shared" si="7"/>
        <v>15</v>
      </c>
      <c r="AB11" s="78">
        <f t="shared" si="25"/>
        <v>2</v>
      </c>
      <c r="AC11" s="78">
        <f t="shared" si="26"/>
        <v>1</v>
      </c>
      <c r="AD11" s="78">
        <f t="shared" si="27"/>
        <v>0</v>
      </c>
      <c r="AE11" s="78">
        <f t="shared" si="28"/>
        <v>1</v>
      </c>
      <c r="AF11" s="78">
        <f t="shared" si="29"/>
        <v>198</v>
      </c>
      <c r="AG11" s="78">
        <f t="shared" si="30"/>
        <v>198</v>
      </c>
      <c r="AH11" s="79">
        <f t="shared" si="8"/>
        <v>3</v>
      </c>
      <c r="AI11" s="53">
        <f t="shared" si="31"/>
        <v>0</v>
      </c>
      <c r="AJ11" s="54">
        <f t="shared" si="32"/>
        <v>0</v>
      </c>
      <c r="AK11" s="54">
        <f t="shared" si="33"/>
        <v>0</v>
      </c>
      <c r="AL11" s="54">
        <f t="shared" si="34"/>
        <v>7</v>
      </c>
      <c r="AM11" s="54">
        <f t="shared" si="35"/>
        <v>0</v>
      </c>
      <c r="AN11" s="54">
        <f t="shared" si="36"/>
        <v>0</v>
      </c>
      <c r="AO11" s="54">
        <f t="shared" si="37"/>
        <v>0</v>
      </c>
      <c r="AP11" s="55">
        <f t="shared" si="38"/>
        <v>2</v>
      </c>
      <c r="AQ11" s="56">
        <f t="shared" si="9"/>
        <v>105.66666666666667</v>
      </c>
      <c r="AR11" s="57">
        <f t="shared" si="39"/>
        <v>95.666666666666671</v>
      </c>
      <c r="AS11" s="58">
        <f t="shared" si="40"/>
        <v>1.2928571428571445</v>
      </c>
      <c r="AT11" s="82" t="str">
        <f t="shared" si="10"/>
        <v/>
      </c>
      <c r="AU11" s="112" t="str">
        <f t="shared" si="11"/>
        <v/>
      </c>
    </row>
    <row r="12" spans="1:47">
      <c r="A12" s="121" t="s">
        <v>208</v>
      </c>
      <c r="B12" s="121" t="s">
        <v>217</v>
      </c>
      <c r="C12" s="121" t="s">
        <v>216</v>
      </c>
      <c r="D12" s="121" t="s">
        <v>228</v>
      </c>
      <c r="E12" s="66"/>
      <c r="F12" s="77" t="str">
        <f t="shared" si="0"/>
        <v>Клипперс</v>
      </c>
      <c r="G12" s="77" t="str">
        <f t="shared" si="1"/>
        <v>Портленд</v>
      </c>
      <c r="H12" s="46">
        <f t="shared" si="2"/>
        <v>122</v>
      </c>
      <c r="I12" s="46">
        <f t="shared" si="12"/>
        <v>117</v>
      </c>
      <c r="J12" s="41" t="str">
        <f t="shared" si="13"/>
        <v>В гостях</v>
      </c>
      <c r="K12" s="41" t="str">
        <f t="shared" si="3"/>
        <v>П</v>
      </c>
      <c r="L12" s="46">
        <f t="shared" si="4"/>
        <v>117</v>
      </c>
      <c r="M12" s="46">
        <f t="shared" si="5"/>
        <v>122</v>
      </c>
      <c r="N12" s="78">
        <f t="shared" si="14"/>
        <v>10</v>
      </c>
      <c r="O12" s="78">
        <f t="shared" si="15"/>
        <v>6</v>
      </c>
      <c r="P12" s="78">
        <f t="shared" si="16"/>
        <v>0</v>
      </c>
      <c r="Q12" s="78">
        <f t="shared" si="17"/>
        <v>4</v>
      </c>
      <c r="R12" s="78">
        <f t="shared" si="18"/>
        <v>1068</v>
      </c>
      <c r="S12" s="78">
        <f t="shared" si="18"/>
        <v>983</v>
      </c>
      <c r="T12" s="78">
        <f t="shared" si="6"/>
        <v>18</v>
      </c>
      <c r="U12" s="78">
        <f t="shared" si="19"/>
        <v>7</v>
      </c>
      <c r="V12" s="78">
        <f t="shared" si="20"/>
        <v>5</v>
      </c>
      <c r="W12" s="78">
        <f t="shared" si="21"/>
        <v>0</v>
      </c>
      <c r="X12" s="78">
        <f t="shared" si="22"/>
        <v>2</v>
      </c>
      <c r="Y12" s="78">
        <f t="shared" si="23"/>
        <v>753</v>
      </c>
      <c r="Z12" s="78">
        <f t="shared" si="24"/>
        <v>663</v>
      </c>
      <c r="AA12" s="78">
        <f t="shared" si="7"/>
        <v>15</v>
      </c>
      <c r="AB12" s="78">
        <f t="shared" si="25"/>
        <v>3</v>
      </c>
      <c r="AC12" s="78">
        <f t="shared" si="26"/>
        <v>1</v>
      </c>
      <c r="AD12" s="78">
        <f t="shared" si="27"/>
        <v>0</v>
      </c>
      <c r="AE12" s="78">
        <f t="shared" si="28"/>
        <v>2</v>
      </c>
      <c r="AF12" s="78">
        <f t="shared" si="29"/>
        <v>315</v>
      </c>
      <c r="AG12" s="78">
        <f t="shared" si="30"/>
        <v>320</v>
      </c>
      <c r="AH12" s="79">
        <f t="shared" si="8"/>
        <v>3</v>
      </c>
      <c r="AI12" s="53">
        <f t="shared" si="31"/>
        <v>0</v>
      </c>
      <c r="AJ12" s="54">
        <f t="shared" si="32"/>
        <v>0</v>
      </c>
      <c r="AK12" s="54">
        <f t="shared" si="33"/>
        <v>0</v>
      </c>
      <c r="AL12" s="54">
        <f t="shared" si="34"/>
        <v>7</v>
      </c>
      <c r="AM12" s="54">
        <f t="shared" si="35"/>
        <v>0</v>
      </c>
      <c r="AN12" s="54">
        <f t="shared" si="36"/>
        <v>0</v>
      </c>
      <c r="AO12" s="54">
        <f t="shared" si="37"/>
        <v>0</v>
      </c>
      <c r="AP12" s="55">
        <f t="shared" si="38"/>
        <v>3</v>
      </c>
      <c r="AQ12" s="56">
        <f t="shared" si="9"/>
        <v>106.8</v>
      </c>
      <c r="AR12" s="57">
        <f t="shared" si="39"/>
        <v>98.3</v>
      </c>
      <c r="AS12" s="58">
        <f t="shared" si="40"/>
        <v>1.331746031746033</v>
      </c>
      <c r="AT12" s="82" t="str">
        <f t="shared" si="10"/>
        <v>П</v>
      </c>
      <c r="AU12" s="112">
        <f t="shared" si="11"/>
        <v>239</v>
      </c>
    </row>
    <row r="13" spans="1:47" ht="12.75" hidden="1" customHeight="1">
      <c r="A13" s="121" t="s">
        <v>231</v>
      </c>
      <c r="B13" s="122" t="s">
        <v>216</v>
      </c>
      <c r="C13" s="122" t="s">
        <v>219</v>
      </c>
      <c r="D13" s="122" t="s">
        <v>237</v>
      </c>
      <c r="E13" s="66"/>
      <c r="F13" s="77" t="str">
        <f t="shared" si="0"/>
        <v>Портленд</v>
      </c>
      <c r="G13" s="77" t="str">
        <f t="shared" si="1"/>
        <v>Оклахома</v>
      </c>
      <c r="H13" s="46">
        <f t="shared" si="2"/>
        <v>95</v>
      </c>
      <c r="I13" s="46">
        <f t="shared" ref="I13:I22" si="41">VALUE(LEFT(RIGHT(D13,LEN(D13)-FIND(":",D13,1)),1))</f>
        <v>9</v>
      </c>
      <c r="J13" s="41" t="str">
        <f t="shared" si="13"/>
        <v>Дома</v>
      </c>
      <c r="K13" s="41" t="str">
        <f t="shared" si="3"/>
        <v>В</v>
      </c>
      <c r="L13" s="46">
        <f t="shared" si="4"/>
        <v>95</v>
      </c>
      <c r="M13" s="46">
        <f t="shared" si="5"/>
        <v>9</v>
      </c>
      <c r="N13" s="78">
        <f t="shared" si="14"/>
        <v>11</v>
      </c>
      <c r="O13" s="78">
        <f t="shared" si="15"/>
        <v>7</v>
      </c>
      <c r="P13" s="78">
        <f t="shared" si="16"/>
        <v>0</v>
      </c>
      <c r="Q13" s="78">
        <f t="shared" si="17"/>
        <v>4</v>
      </c>
      <c r="R13" s="78">
        <f t="shared" si="18"/>
        <v>1163</v>
      </c>
      <c r="S13" s="78">
        <f t="shared" si="18"/>
        <v>992</v>
      </c>
      <c r="T13" s="78">
        <f t="shared" si="6"/>
        <v>21</v>
      </c>
      <c r="U13" s="78">
        <f t="shared" si="19"/>
        <v>8</v>
      </c>
      <c r="V13" s="78">
        <f t="shared" si="20"/>
        <v>6</v>
      </c>
      <c r="W13" s="78">
        <f t="shared" si="21"/>
        <v>0</v>
      </c>
      <c r="X13" s="78">
        <f t="shared" si="22"/>
        <v>2</v>
      </c>
      <c r="Y13" s="78">
        <f t="shared" si="23"/>
        <v>848</v>
      </c>
      <c r="Z13" s="78">
        <f t="shared" si="24"/>
        <v>672</v>
      </c>
      <c r="AA13" s="78">
        <f t="shared" si="7"/>
        <v>18</v>
      </c>
      <c r="AB13" s="78">
        <f t="shared" si="25"/>
        <v>3</v>
      </c>
      <c r="AC13" s="78">
        <f t="shared" si="26"/>
        <v>1</v>
      </c>
      <c r="AD13" s="78">
        <f t="shared" si="27"/>
        <v>0</v>
      </c>
      <c r="AE13" s="78">
        <f t="shared" si="28"/>
        <v>2</v>
      </c>
      <c r="AF13" s="78">
        <f t="shared" si="29"/>
        <v>315</v>
      </c>
      <c r="AG13" s="78">
        <f t="shared" si="30"/>
        <v>320</v>
      </c>
      <c r="AH13" s="79">
        <f t="shared" si="8"/>
        <v>3</v>
      </c>
      <c r="AI13" s="53">
        <f t="shared" si="31"/>
        <v>0</v>
      </c>
      <c r="AJ13" s="54">
        <f t="shared" si="32"/>
        <v>0</v>
      </c>
      <c r="AK13" s="54">
        <f t="shared" si="33"/>
        <v>0</v>
      </c>
      <c r="AL13" s="54">
        <f t="shared" si="34"/>
        <v>8</v>
      </c>
      <c r="AM13" s="54">
        <f t="shared" si="35"/>
        <v>0</v>
      </c>
      <c r="AN13" s="54">
        <f t="shared" si="36"/>
        <v>0</v>
      </c>
      <c r="AO13" s="54">
        <f t="shared" si="37"/>
        <v>0</v>
      </c>
      <c r="AP13" s="55">
        <f t="shared" si="38"/>
        <v>3</v>
      </c>
      <c r="AQ13" s="56">
        <f t="shared" si="9"/>
        <v>105.72727272727273</v>
      </c>
      <c r="AR13" s="57">
        <f>S13/N13</f>
        <v>90.181818181818187</v>
      </c>
      <c r="AS13" s="58">
        <f t="shared" si="40"/>
        <v>2.3055555555555554</v>
      </c>
      <c r="AT13" s="118" t="str">
        <f t="shared" si="10"/>
        <v/>
      </c>
    </row>
    <row r="14" spans="1:47" ht="12.75" hidden="1" customHeight="1">
      <c r="A14" s="121" t="s">
        <v>236</v>
      </c>
      <c r="B14" s="122" t="s">
        <v>119</v>
      </c>
      <c r="C14" s="122" t="s">
        <v>216</v>
      </c>
      <c r="D14" s="122" t="s">
        <v>261</v>
      </c>
      <c r="E14" s="66"/>
      <c r="F14" s="77" t="str">
        <f t="shared" si="0"/>
        <v>Миннесота</v>
      </c>
      <c r="G14" s="77" t="str">
        <f t="shared" si="1"/>
        <v>Портленд</v>
      </c>
      <c r="H14" s="46">
        <f t="shared" si="2"/>
        <v>110</v>
      </c>
      <c r="I14" s="46">
        <f t="shared" si="41"/>
        <v>1</v>
      </c>
      <c r="J14" s="41" t="str">
        <f t="shared" si="13"/>
        <v>В гостях</v>
      </c>
      <c r="K14" s="41" t="str">
        <f t="shared" si="3"/>
        <v>П</v>
      </c>
      <c r="L14" s="46">
        <f t="shared" si="4"/>
        <v>1</v>
      </c>
      <c r="M14" s="46">
        <f t="shared" si="5"/>
        <v>110</v>
      </c>
      <c r="N14" s="78">
        <f t="shared" si="14"/>
        <v>12</v>
      </c>
      <c r="O14" s="78">
        <f t="shared" si="15"/>
        <v>7</v>
      </c>
      <c r="P14" s="78">
        <f t="shared" si="16"/>
        <v>0</v>
      </c>
      <c r="Q14" s="78">
        <f t="shared" si="17"/>
        <v>5</v>
      </c>
      <c r="R14" s="78">
        <f t="shared" si="18"/>
        <v>1164</v>
      </c>
      <c r="S14" s="78">
        <f t="shared" si="18"/>
        <v>1102</v>
      </c>
      <c r="T14" s="78">
        <f t="shared" si="6"/>
        <v>21</v>
      </c>
      <c r="U14" s="78">
        <f t="shared" si="19"/>
        <v>8</v>
      </c>
      <c r="V14" s="78">
        <f t="shared" si="20"/>
        <v>6</v>
      </c>
      <c r="W14" s="78">
        <f t="shared" si="21"/>
        <v>0</v>
      </c>
      <c r="X14" s="78">
        <f t="shared" si="22"/>
        <v>2</v>
      </c>
      <c r="Y14" s="78">
        <f t="shared" si="23"/>
        <v>848</v>
      </c>
      <c r="Z14" s="78">
        <f t="shared" si="24"/>
        <v>672</v>
      </c>
      <c r="AA14" s="78">
        <f t="shared" si="7"/>
        <v>18</v>
      </c>
      <c r="AB14" s="78">
        <f t="shared" si="25"/>
        <v>4</v>
      </c>
      <c r="AC14" s="78">
        <f t="shared" si="26"/>
        <v>1</v>
      </c>
      <c r="AD14" s="78">
        <f t="shared" si="27"/>
        <v>0</v>
      </c>
      <c r="AE14" s="78">
        <f t="shared" si="28"/>
        <v>3</v>
      </c>
      <c r="AF14" s="78">
        <f t="shared" si="29"/>
        <v>316</v>
      </c>
      <c r="AG14" s="78">
        <f t="shared" si="30"/>
        <v>430</v>
      </c>
      <c r="AH14" s="79">
        <f t="shared" si="8"/>
        <v>3</v>
      </c>
      <c r="AI14" s="53">
        <f t="shared" si="31"/>
        <v>0</v>
      </c>
      <c r="AJ14" s="54">
        <f t="shared" si="32"/>
        <v>0</v>
      </c>
      <c r="AK14" s="54">
        <f t="shared" si="33"/>
        <v>0</v>
      </c>
      <c r="AL14" s="54">
        <f t="shared" si="34"/>
        <v>8</v>
      </c>
      <c r="AM14" s="54">
        <f t="shared" si="35"/>
        <v>0</v>
      </c>
      <c r="AN14" s="54">
        <f t="shared" si="36"/>
        <v>1</v>
      </c>
      <c r="AO14" s="54">
        <f t="shared" si="37"/>
        <v>0</v>
      </c>
      <c r="AP14" s="55">
        <f t="shared" si="38"/>
        <v>3</v>
      </c>
      <c r="AQ14" s="56">
        <f t="shared" si="9"/>
        <v>97</v>
      </c>
      <c r="AR14" s="57">
        <f t="shared" si="39"/>
        <v>91.833333333333329</v>
      </c>
      <c r="AS14" s="58">
        <f t="shared" si="40"/>
        <v>-0.375</v>
      </c>
      <c r="AT14" s="118" t="str">
        <f t="shared" si="10"/>
        <v>П</v>
      </c>
    </row>
    <row r="15" spans="1:47" ht="12.75" hidden="1" customHeight="1">
      <c r="A15" s="121" t="s">
        <v>85</v>
      </c>
      <c r="B15" s="122" t="s">
        <v>79</v>
      </c>
      <c r="C15" s="122" t="s">
        <v>77</v>
      </c>
      <c r="D15" s="122" t="s">
        <v>76</v>
      </c>
      <c r="E15" s="66"/>
      <c r="F15" s="77" t="str">
        <f t="shared" si="0"/>
        <v>Шахтер С</v>
      </c>
      <c r="G15" s="77" t="str">
        <f t="shared" si="1"/>
        <v>Белшина</v>
      </c>
      <c r="H15" s="46">
        <f t="shared" si="2"/>
        <v>0</v>
      </c>
      <c r="I15" s="46">
        <f t="shared" si="41"/>
        <v>0</v>
      </c>
      <c r="J15" s="41" t="str">
        <f t="shared" si="13"/>
        <v>В гостях</v>
      </c>
      <c r="K15" s="41" t="str">
        <f t="shared" si="3"/>
        <v>Н</v>
      </c>
      <c r="L15" s="46">
        <f t="shared" si="4"/>
        <v>0</v>
      </c>
      <c r="M15" s="46">
        <f t="shared" si="5"/>
        <v>0</v>
      </c>
      <c r="N15" s="78">
        <f t="shared" si="14"/>
        <v>13</v>
      </c>
      <c r="O15" s="78">
        <f t="shared" si="15"/>
        <v>7</v>
      </c>
      <c r="P15" s="78">
        <f t="shared" si="16"/>
        <v>1</v>
      </c>
      <c r="Q15" s="78">
        <f t="shared" si="17"/>
        <v>5</v>
      </c>
      <c r="R15" s="78">
        <f t="shared" si="18"/>
        <v>1164</v>
      </c>
      <c r="S15" s="78">
        <f t="shared" si="18"/>
        <v>1102</v>
      </c>
      <c r="T15" s="78">
        <f t="shared" si="6"/>
        <v>22</v>
      </c>
      <c r="U15" s="78">
        <f t="shared" si="19"/>
        <v>8</v>
      </c>
      <c r="V15" s="78">
        <f t="shared" si="20"/>
        <v>6</v>
      </c>
      <c r="W15" s="78">
        <f t="shared" si="21"/>
        <v>0</v>
      </c>
      <c r="X15" s="78">
        <f t="shared" si="22"/>
        <v>2</v>
      </c>
      <c r="Y15" s="78">
        <f t="shared" si="23"/>
        <v>848</v>
      </c>
      <c r="Z15" s="78">
        <f t="shared" si="24"/>
        <v>672</v>
      </c>
      <c r="AA15" s="78">
        <f t="shared" si="7"/>
        <v>18</v>
      </c>
      <c r="AB15" s="78">
        <f t="shared" si="25"/>
        <v>5</v>
      </c>
      <c r="AC15" s="78">
        <f t="shared" si="26"/>
        <v>1</v>
      </c>
      <c r="AD15" s="78">
        <f t="shared" si="27"/>
        <v>1</v>
      </c>
      <c r="AE15" s="78">
        <f t="shared" si="28"/>
        <v>3</v>
      </c>
      <c r="AF15" s="78">
        <f t="shared" si="29"/>
        <v>316</v>
      </c>
      <c r="AG15" s="78">
        <f t="shared" si="30"/>
        <v>430</v>
      </c>
      <c r="AH15" s="79">
        <f t="shared" si="8"/>
        <v>4</v>
      </c>
      <c r="AI15" s="53">
        <f t="shared" si="31"/>
        <v>0</v>
      </c>
      <c r="AJ15" s="54">
        <f t="shared" si="32"/>
        <v>0</v>
      </c>
      <c r="AK15" s="54">
        <f t="shared" si="33"/>
        <v>0</v>
      </c>
      <c r="AL15" s="54">
        <f t="shared" si="34"/>
        <v>8</v>
      </c>
      <c r="AM15" s="54">
        <f t="shared" si="35"/>
        <v>1</v>
      </c>
      <c r="AN15" s="54">
        <f t="shared" si="36"/>
        <v>1</v>
      </c>
      <c r="AO15" s="54">
        <f t="shared" si="37"/>
        <v>0</v>
      </c>
      <c r="AP15" s="55">
        <f t="shared" si="38"/>
        <v>3</v>
      </c>
      <c r="AQ15" s="56">
        <f t="shared" si="9"/>
        <v>89.538461538461533</v>
      </c>
      <c r="AR15" s="57">
        <f t="shared" si="39"/>
        <v>84.769230769230774</v>
      </c>
      <c r="AS15" s="58">
        <f t="shared" si="40"/>
        <v>-0.51666666666666672</v>
      </c>
      <c r="AT15" s="118" t="str">
        <f t="shared" si="10"/>
        <v>Н</v>
      </c>
    </row>
    <row r="16" spans="1:47" ht="12.75" hidden="1" customHeight="1">
      <c r="A16" s="121" t="s">
        <v>86</v>
      </c>
      <c r="B16" s="122" t="s">
        <v>81</v>
      </c>
      <c r="C16" s="122" t="s">
        <v>79</v>
      </c>
      <c r="D16" s="122" t="s">
        <v>65</v>
      </c>
      <c r="E16" s="66"/>
      <c r="F16" s="77" t="str">
        <f t="shared" si="0"/>
        <v>Витебск</v>
      </c>
      <c r="G16" s="77" t="str">
        <f t="shared" si="1"/>
        <v>Шахтер С</v>
      </c>
      <c r="H16" s="46">
        <f t="shared" si="2"/>
        <v>0</v>
      </c>
      <c r="I16" s="46">
        <f t="shared" si="41"/>
        <v>2</v>
      </c>
      <c r="J16" s="41" t="str">
        <f t="shared" si="13"/>
        <v>В гостях</v>
      </c>
      <c r="K16" s="41" t="str">
        <f t="shared" si="3"/>
        <v>В</v>
      </c>
      <c r="L16" s="46">
        <f t="shared" si="4"/>
        <v>2</v>
      </c>
      <c r="M16" s="46">
        <f t="shared" si="5"/>
        <v>0</v>
      </c>
      <c r="N16" s="78">
        <f t="shared" si="14"/>
        <v>14</v>
      </c>
      <c r="O16" s="78">
        <f t="shared" si="15"/>
        <v>8</v>
      </c>
      <c r="P16" s="78">
        <f t="shared" si="16"/>
        <v>1</v>
      </c>
      <c r="Q16" s="78">
        <f t="shared" si="17"/>
        <v>5</v>
      </c>
      <c r="R16" s="78">
        <f t="shared" si="18"/>
        <v>1166</v>
      </c>
      <c r="S16" s="78">
        <f t="shared" si="18"/>
        <v>1102</v>
      </c>
      <c r="T16" s="78">
        <f t="shared" si="6"/>
        <v>25</v>
      </c>
      <c r="U16" s="78">
        <f t="shared" si="19"/>
        <v>8</v>
      </c>
      <c r="V16" s="78">
        <f t="shared" si="20"/>
        <v>6</v>
      </c>
      <c r="W16" s="78">
        <f t="shared" si="21"/>
        <v>0</v>
      </c>
      <c r="X16" s="78">
        <f t="shared" si="22"/>
        <v>2</v>
      </c>
      <c r="Y16" s="78">
        <f t="shared" si="23"/>
        <v>848</v>
      </c>
      <c r="Z16" s="78">
        <f t="shared" si="24"/>
        <v>672</v>
      </c>
      <c r="AA16" s="78">
        <f t="shared" si="7"/>
        <v>18</v>
      </c>
      <c r="AB16" s="78">
        <f t="shared" si="25"/>
        <v>6</v>
      </c>
      <c r="AC16" s="78">
        <f t="shared" si="26"/>
        <v>2</v>
      </c>
      <c r="AD16" s="78">
        <f t="shared" si="27"/>
        <v>1</v>
      </c>
      <c r="AE16" s="78">
        <f t="shared" si="28"/>
        <v>3</v>
      </c>
      <c r="AF16" s="78">
        <f t="shared" si="29"/>
        <v>318</v>
      </c>
      <c r="AG16" s="78">
        <f t="shared" si="30"/>
        <v>430</v>
      </c>
      <c r="AH16" s="79">
        <f t="shared" si="8"/>
        <v>7</v>
      </c>
      <c r="AI16" s="53">
        <f t="shared" si="31"/>
        <v>0</v>
      </c>
      <c r="AJ16" s="54">
        <f t="shared" si="32"/>
        <v>0</v>
      </c>
      <c r="AK16" s="54">
        <f t="shared" si="33"/>
        <v>0</v>
      </c>
      <c r="AL16" s="54">
        <f t="shared" si="34"/>
        <v>8</v>
      </c>
      <c r="AM16" s="54">
        <f t="shared" si="35"/>
        <v>1</v>
      </c>
      <c r="AN16" s="54">
        <f t="shared" si="36"/>
        <v>1</v>
      </c>
      <c r="AO16" s="54">
        <f t="shared" si="37"/>
        <v>1</v>
      </c>
      <c r="AP16" s="55">
        <f t="shared" si="38"/>
        <v>3</v>
      </c>
      <c r="AQ16" s="56">
        <f t="shared" si="9"/>
        <v>83.285714285714292</v>
      </c>
      <c r="AR16" s="57">
        <f t="shared" si="39"/>
        <v>78.714285714285708</v>
      </c>
      <c r="AS16" s="58">
        <f t="shared" si="40"/>
        <v>-0.54444444444444473</v>
      </c>
      <c r="AT16" s="118" t="str">
        <f t="shared" si="10"/>
        <v>В</v>
      </c>
    </row>
    <row r="17" spans="1:46" ht="12.75" hidden="1" customHeight="1">
      <c r="A17" s="121" t="s">
        <v>89</v>
      </c>
      <c r="B17" s="122" t="s">
        <v>79</v>
      </c>
      <c r="C17" s="122" t="s">
        <v>91</v>
      </c>
      <c r="D17" s="122" t="s">
        <v>88</v>
      </c>
      <c r="E17" s="66"/>
      <c r="F17" s="77" t="str">
        <f t="shared" si="0"/>
        <v>Шахтер С</v>
      </c>
      <c r="G17" s="77" t="str">
        <f t="shared" si="1"/>
        <v>Неман Гродно</v>
      </c>
      <c r="H17" s="46">
        <f t="shared" si="2"/>
        <v>5</v>
      </c>
      <c r="I17" s="46">
        <f t="shared" si="41"/>
        <v>0</v>
      </c>
      <c r="J17" s="41" t="str">
        <f t="shared" si="13"/>
        <v>В гостях</v>
      </c>
      <c r="K17" s="41" t="str">
        <f t="shared" si="3"/>
        <v>П</v>
      </c>
      <c r="L17" s="46">
        <f t="shared" si="4"/>
        <v>0</v>
      </c>
      <c r="M17" s="46">
        <f t="shared" si="5"/>
        <v>5</v>
      </c>
      <c r="N17" s="78">
        <f t="shared" si="14"/>
        <v>15</v>
      </c>
      <c r="O17" s="78">
        <f t="shared" si="15"/>
        <v>8</v>
      </c>
      <c r="P17" s="78">
        <f t="shared" si="16"/>
        <v>1</v>
      </c>
      <c r="Q17" s="78">
        <f t="shared" si="17"/>
        <v>6</v>
      </c>
      <c r="R17" s="78">
        <f t="shared" si="18"/>
        <v>1166</v>
      </c>
      <c r="S17" s="78">
        <f t="shared" si="18"/>
        <v>1107</v>
      </c>
      <c r="T17" s="78">
        <f t="shared" si="6"/>
        <v>25</v>
      </c>
      <c r="U17" s="78">
        <f t="shared" si="19"/>
        <v>8</v>
      </c>
      <c r="V17" s="78">
        <f t="shared" si="20"/>
        <v>6</v>
      </c>
      <c r="W17" s="78">
        <f t="shared" si="21"/>
        <v>0</v>
      </c>
      <c r="X17" s="78">
        <f t="shared" si="22"/>
        <v>2</v>
      </c>
      <c r="Y17" s="78">
        <f t="shared" si="23"/>
        <v>848</v>
      </c>
      <c r="Z17" s="78">
        <f t="shared" si="24"/>
        <v>672</v>
      </c>
      <c r="AA17" s="78">
        <f t="shared" si="7"/>
        <v>18</v>
      </c>
      <c r="AB17" s="78">
        <f t="shared" si="25"/>
        <v>7</v>
      </c>
      <c r="AC17" s="78">
        <f t="shared" si="26"/>
        <v>2</v>
      </c>
      <c r="AD17" s="78">
        <f t="shared" si="27"/>
        <v>1</v>
      </c>
      <c r="AE17" s="78">
        <f t="shared" si="28"/>
        <v>4</v>
      </c>
      <c r="AF17" s="78">
        <f t="shared" si="29"/>
        <v>318</v>
      </c>
      <c r="AG17" s="78">
        <f t="shared" si="30"/>
        <v>435</v>
      </c>
      <c r="AH17" s="79">
        <f t="shared" si="8"/>
        <v>7</v>
      </c>
      <c r="AI17" s="53">
        <f t="shared" si="31"/>
        <v>0</v>
      </c>
      <c r="AJ17" s="54">
        <f t="shared" si="32"/>
        <v>0</v>
      </c>
      <c r="AK17" s="54">
        <f t="shared" si="33"/>
        <v>0</v>
      </c>
      <c r="AL17" s="54">
        <f t="shared" si="34"/>
        <v>8</v>
      </c>
      <c r="AM17" s="54">
        <f t="shared" si="35"/>
        <v>2</v>
      </c>
      <c r="AN17" s="54">
        <f t="shared" si="36"/>
        <v>1</v>
      </c>
      <c r="AO17" s="54">
        <f t="shared" si="37"/>
        <v>1</v>
      </c>
      <c r="AP17" s="55">
        <f t="shared" si="38"/>
        <v>3</v>
      </c>
      <c r="AQ17" s="56">
        <f t="shared" si="9"/>
        <v>77.733333333333334</v>
      </c>
      <c r="AR17" s="57">
        <f t="shared" si="39"/>
        <v>73.8</v>
      </c>
      <c r="AS17" s="58">
        <f t="shared" si="40"/>
        <v>-0.68333333333333379</v>
      </c>
      <c r="AT17" s="118" t="str">
        <f t="shared" si="10"/>
        <v>П</v>
      </c>
    </row>
    <row r="18" spans="1:46" ht="12.75" hidden="1" customHeight="1">
      <c r="A18" s="121" t="s">
        <v>101</v>
      </c>
      <c r="B18" s="122" t="s">
        <v>79</v>
      </c>
      <c r="C18" s="122" t="s">
        <v>82</v>
      </c>
      <c r="D18" s="122" t="s">
        <v>59</v>
      </c>
      <c r="E18" s="66"/>
      <c r="F18" s="77" t="str">
        <f t="shared" si="0"/>
        <v>Шахтер С</v>
      </c>
      <c r="G18" s="77" t="str">
        <f t="shared" si="1"/>
        <v>Торпедо Жодино</v>
      </c>
      <c r="H18" s="46">
        <f t="shared" si="2"/>
        <v>1</v>
      </c>
      <c r="I18" s="46">
        <f t="shared" si="41"/>
        <v>0</v>
      </c>
      <c r="J18" s="41" t="str">
        <f t="shared" si="13"/>
        <v>В гостях</v>
      </c>
      <c r="K18" s="41" t="str">
        <f t="shared" si="3"/>
        <v>П</v>
      </c>
      <c r="L18" s="46">
        <f t="shared" si="4"/>
        <v>0</v>
      </c>
      <c r="M18" s="46">
        <f t="shared" si="5"/>
        <v>1</v>
      </c>
      <c r="N18" s="78">
        <f t="shared" si="14"/>
        <v>16</v>
      </c>
      <c r="O18" s="78">
        <f t="shared" si="15"/>
        <v>8</v>
      </c>
      <c r="P18" s="78">
        <f t="shared" si="16"/>
        <v>1</v>
      </c>
      <c r="Q18" s="78">
        <f t="shared" si="17"/>
        <v>7</v>
      </c>
      <c r="R18" s="78">
        <f t="shared" si="18"/>
        <v>1166</v>
      </c>
      <c r="S18" s="78">
        <f t="shared" si="18"/>
        <v>1108</v>
      </c>
      <c r="T18" s="78">
        <f t="shared" si="6"/>
        <v>25</v>
      </c>
      <c r="U18" s="78">
        <f t="shared" si="19"/>
        <v>8</v>
      </c>
      <c r="V18" s="78">
        <f t="shared" si="20"/>
        <v>6</v>
      </c>
      <c r="W18" s="78">
        <f t="shared" si="21"/>
        <v>0</v>
      </c>
      <c r="X18" s="78">
        <f t="shared" si="22"/>
        <v>2</v>
      </c>
      <c r="Y18" s="78">
        <f t="shared" si="23"/>
        <v>848</v>
      </c>
      <c r="Z18" s="78">
        <f t="shared" si="24"/>
        <v>672</v>
      </c>
      <c r="AA18" s="78">
        <f t="shared" si="7"/>
        <v>18</v>
      </c>
      <c r="AB18" s="78">
        <f t="shared" si="25"/>
        <v>8</v>
      </c>
      <c r="AC18" s="78">
        <f t="shared" si="26"/>
        <v>2</v>
      </c>
      <c r="AD18" s="78">
        <f t="shared" si="27"/>
        <v>1</v>
      </c>
      <c r="AE18" s="78">
        <f t="shared" si="28"/>
        <v>5</v>
      </c>
      <c r="AF18" s="78">
        <f t="shared" si="29"/>
        <v>318</v>
      </c>
      <c r="AG18" s="78">
        <f t="shared" si="30"/>
        <v>436</v>
      </c>
      <c r="AH18" s="79">
        <f t="shared" si="8"/>
        <v>7</v>
      </c>
      <c r="AI18" s="53">
        <f t="shared" si="31"/>
        <v>0</v>
      </c>
      <c r="AJ18" s="54">
        <f t="shared" si="32"/>
        <v>0</v>
      </c>
      <c r="AK18" s="54">
        <f t="shared" si="33"/>
        <v>0</v>
      </c>
      <c r="AL18" s="54">
        <f t="shared" si="34"/>
        <v>8</v>
      </c>
      <c r="AM18" s="54">
        <f t="shared" si="35"/>
        <v>3</v>
      </c>
      <c r="AN18" s="54">
        <f t="shared" si="36"/>
        <v>1</v>
      </c>
      <c r="AO18" s="54">
        <f t="shared" si="37"/>
        <v>1</v>
      </c>
      <c r="AP18" s="55">
        <f t="shared" si="38"/>
        <v>3</v>
      </c>
      <c r="AQ18" s="56">
        <f t="shared" si="9"/>
        <v>72.875</v>
      </c>
      <c r="AR18" s="57">
        <f t="shared" si="39"/>
        <v>69.25</v>
      </c>
      <c r="AS18" s="58">
        <f t="shared" si="40"/>
        <v>-0.75416666666666665</v>
      </c>
      <c r="AT18" s="118" t="str">
        <f t="shared" si="10"/>
        <v>П</v>
      </c>
    </row>
    <row r="19" spans="1:46" ht="12.75" hidden="1" customHeight="1">
      <c r="A19" s="121" t="s">
        <v>92</v>
      </c>
      <c r="B19" s="122" t="s">
        <v>79</v>
      </c>
      <c r="C19" s="122" t="s">
        <v>83</v>
      </c>
      <c r="D19" s="122" t="s">
        <v>58</v>
      </c>
      <c r="E19" s="66"/>
      <c r="F19" s="77" t="str">
        <f t="shared" si="0"/>
        <v>Шахтер С</v>
      </c>
      <c r="G19" s="77" t="str">
        <f t="shared" si="1"/>
        <v>Динамо Брест</v>
      </c>
      <c r="H19" s="46">
        <f t="shared" si="2"/>
        <v>2</v>
      </c>
      <c r="I19" s="46">
        <f t="shared" si="41"/>
        <v>0</v>
      </c>
      <c r="J19" s="41" t="str">
        <f t="shared" si="13"/>
        <v>В гостях</v>
      </c>
      <c r="K19" s="41" t="str">
        <f t="shared" si="3"/>
        <v>П</v>
      </c>
      <c r="L19" s="46">
        <f t="shared" si="4"/>
        <v>0</v>
      </c>
      <c r="M19" s="46">
        <f t="shared" si="5"/>
        <v>2</v>
      </c>
      <c r="N19" s="78">
        <f t="shared" si="14"/>
        <v>17</v>
      </c>
      <c r="O19" s="78">
        <f t="shared" si="15"/>
        <v>8</v>
      </c>
      <c r="P19" s="78">
        <f t="shared" si="16"/>
        <v>1</v>
      </c>
      <c r="Q19" s="78">
        <f t="shared" si="17"/>
        <v>8</v>
      </c>
      <c r="R19" s="78">
        <f t="shared" si="18"/>
        <v>1166</v>
      </c>
      <c r="S19" s="78">
        <f t="shared" si="18"/>
        <v>1110</v>
      </c>
      <c r="T19" s="78">
        <f t="shared" si="6"/>
        <v>25</v>
      </c>
      <c r="U19" s="78">
        <f t="shared" si="19"/>
        <v>8</v>
      </c>
      <c r="V19" s="78">
        <f t="shared" si="20"/>
        <v>6</v>
      </c>
      <c r="W19" s="78">
        <f t="shared" si="21"/>
        <v>0</v>
      </c>
      <c r="X19" s="78">
        <f t="shared" si="22"/>
        <v>2</v>
      </c>
      <c r="Y19" s="78">
        <f t="shared" si="23"/>
        <v>848</v>
      </c>
      <c r="Z19" s="78">
        <f t="shared" si="24"/>
        <v>672</v>
      </c>
      <c r="AA19" s="78">
        <f t="shared" si="7"/>
        <v>18</v>
      </c>
      <c r="AB19" s="78">
        <f t="shared" si="25"/>
        <v>9</v>
      </c>
      <c r="AC19" s="78">
        <f t="shared" si="26"/>
        <v>2</v>
      </c>
      <c r="AD19" s="78">
        <f t="shared" si="27"/>
        <v>1</v>
      </c>
      <c r="AE19" s="78">
        <f t="shared" si="28"/>
        <v>6</v>
      </c>
      <c r="AF19" s="78">
        <f t="shared" si="29"/>
        <v>318</v>
      </c>
      <c r="AG19" s="78">
        <f t="shared" si="30"/>
        <v>438</v>
      </c>
      <c r="AH19" s="79">
        <f t="shared" si="8"/>
        <v>7</v>
      </c>
      <c r="AI19" s="53">
        <f t="shared" si="31"/>
        <v>0</v>
      </c>
      <c r="AJ19" s="54">
        <f t="shared" si="32"/>
        <v>0</v>
      </c>
      <c r="AK19" s="54">
        <f t="shared" si="33"/>
        <v>0</v>
      </c>
      <c r="AL19" s="54">
        <f t="shared" si="34"/>
        <v>8</v>
      </c>
      <c r="AM19" s="54">
        <f t="shared" si="35"/>
        <v>4</v>
      </c>
      <c r="AN19" s="54">
        <f t="shared" si="36"/>
        <v>1</v>
      </c>
      <c r="AO19" s="54">
        <f t="shared" si="37"/>
        <v>1</v>
      </c>
      <c r="AP19" s="55">
        <f t="shared" si="38"/>
        <v>3</v>
      </c>
      <c r="AQ19" s="56">
        <f t="shared" si="9"/>
        <v>68.588235294117652</v>
      </c>
      <c r="AR19" s="57">
        <f t="shared" si="39"/>
        <v>65.294117647058826</v>
      </c>
      <c r="AS19" s="58">
        <f t="shared" si="40"/>
        <v>-0.81666666666666521</v>
      </c>
      <c r="AT19" s="118" t="str">
        <f t="shared" si="10"/>
        <v>П</v>
      </c>
    </row>
    <row r="20" spans="1:46" ht="12.75" hidden="1" customHeight="1">
      <c r="A20" s="121" t="s">
        <v>93</v>
      </c>
      <c r="B20" s="122" t="s">
        <v>80</v>
      </c>
      <c r="C20" s="122" t="s">
        <v>79</v>
      </c>
      <c r="D20" s="122" t="s">
        <v>65</v>
      </c>
      <c r="E20" s="66"/>
      <c r="F20" s="77" t="str">
        <f t="shared" si="0"/>
        <v>Динамо Минск</v>
      </c>
      <c r="G20" s="77" t="str">
        <f t="shared" si="1"/>
        <v>Шахтер С</v>
      </c>
      <c r="H20" s="46">
        <f t="shared" si="2"/>
        <v>0</v>
      </c>
      <c r="I20" s="46">
        <f t="shared" si="41"/>
        <v>2</v>
      </c>
      <c r="J20" s="41" t="str">
        <f t="shared" si="13"/>
        <v>В гостях</v>
      </c>
      <c r="K20" s="41" t="str">
        <f t="shared" si="3"/>
        <v>В</v>
      </c>
      <c r="L20" s="46">
        <f t="shared" si="4"/>
        <v>2</v>
      </c>
      <c r="M20" s="46">
        <f t="shared" si="5"/>
        <v>0</v>
      </c>
      <c r="N20" s="78">
        <f t="shared" si="14"/>
        <v>18</v>
      </c>
      <c r="O20" s="78">
        <f t="shared" si="15"/>
        <v>9</v>
      </c>
      <c r="P20" s="78">
        <f t="shared" si="16"/>
        <v>1</v>
      </c>
      <c r="Q20" s="78">
        <f t="shared" si="17"/>
        <v>8</v>
      </c>
      <c r="R20" s="78">
        <f t="shared" si="18"/>
        <v>1168</v>
      </c>
      <c r="S20" s="78">
        <f t="shared" si="18"/>
        <v>1110</v>
      </c>
      <c r="T20" s="78">
        <f t="shared" si="6"/>
        <v>28</v>
      </c>
      <c r="U20" s="78">
        <f t="shared" si="19"/>
        <v>8</v>
      </c>
      <c r="V20" s="78">
        <f t="shared" si="20"/>
        <v>6</v>
      </c>
      <c r="W20" s="78">
        <f t="shared" si="21"/>
        <v>0</v>
      </c>
      <c r="X20" s="78">
        <f t="shared" si="22"/>
        <v>2</v>
      </c>
      <c r="Y20" s="78">
        <f t="shared" si="23"/>
        <v>848</v>
      </c>
      <c r="Z20" s="78">
        <f t="shared" si="24"/>
        <v>672</v>
      </c>
      <c r="AA20" s="78">
        <f t="shared" si="7"/>
        <v>18</v>
      </c>
      <c r="AB20" s="78">
        <f t="shared" si="25"/>
        <v>10</v>
      </c>
      <c r="AC20" s="78">
        <f t="shared" si="26"/>
        <v>3</v>
      </c>
      <c r="AD20" s="78">
        <f t="shared" si="27"/>
        <v>1</v>
      </c>
      <c r="AE20" s="78">
        <f t="shared" si="28"/>
        <v>6</v>
      </c>
      <c r="AF20" s="78">
        <f t="shared" si="29"/>
        <v>320</v>
      </c>
      <c r="AG20" s="78">
        <f t="shared" si="30"/>
        <v>438</v>
      </c>
      <c r="AH20" s="79">
        <f t="shared" si="8"/>
        <v>10</v>
      </c>
      <c r="AI20" s="53">
        <f t="shared" si="31"/>
        <v>0</v>
      </c>
      <c r="AJ20" s="54">
        <f t="shared" si="32"/>
        <v>0</v>
      </c>
      <c r="AK20" s="54">
        <f t="shared" si="33"/>
        <v>0</v>
      </c>
      <c r="AL20" s="54">
        <f t="shared" si="34"/>
        <v>8</v>
      </c>
      <c r="AM20" s="54">
        <f t="shared" si="35"/>
        <v>4</v>
      </c>
      <c r="AN20" s="54">
        <f t="shared" si="36"/>
        <v>1</v>
      </c>
      <c r="AO20" s="54">
        <f t="shared" si="37"/>
        <v>2</v>
      </c>
      <c r="AP20" s="55">
        <f t="shared" si="38"/>
        <v>3</v>
      </c>
      <c r="AQ20" s="56">
        <f t="shared" si="9"/>
        <v>64.888888888888886</v>
      </c>
      <c r="AR20" s="57">
        <f t="shared" si="39"/>
        <v>61.666666666666664</v>
      </c>
      <c r="AS20" s="58">
        <f t="shared" si="40"/>
        <v>-0.80333333333333312</v>
      </c>
      <c r="AT20" s="118" t="str">
        <f t="shared" si="10"/>
        <v>В</v>
      </c>
    </row>
    <row r="21" spans="1:46" ht="12.75" hidden="1" customHeight="1">
      <c r="A21" s="121" t="s">
        <v>94</v>
      </c>
      <c r="B21" s="122" t="s">
        <v>79</v>
      </c>
      <c r="C21" s="122" t="s">
        <v>87</v>
      </c>
      <c r="D21" s="122" t="s">
        <v>70</v>
      </c>
      <c r="E21" s="66"/>
      <c r="F21" s="77" t="str">
        <f t="shared" si="0"/>
        <v>Шахтер С</v>
      </c>
      <c r="G21" s="77" t="str">
        <f t="shared" si="1"/>
        <v>Днепр Мог</v>
      </c>
      <c r="H21" s="46">
        <f t="shared" si="2"/>
        <v>2</v>
      </c>
      <c r="I21" s="46">
        <f t="shared" si="41"/>
        <v>2</v>
      </c>
      <c r="J21" s="41" t="str">
        <f t="shared" si="13"/>
        <v>В гостях</v>
      </c>
      <c r="K21" s="41" t="str">
        <f t="shared" si="3"/>
        <v>Н</v>
      </c>
      <c r="L21" s="46">
        <f t="shared" si="4"/>
        <v>2</v>
      </c>
      <c r="M21" s="46">
        <f t="shared" si="5"/>
        <v>2</v>
      </c>
      <c r="N21" s="78">
        <f t="shared" si="14"/>
        <v>19</v>
      </c>
      <c r="O21" s="78">
        <f t="shared" si="15"/>
        <v>9</v>
      </c>
      <c r="P21" s="78">
        <f t="shared" si="16"/>
        <v>2</v>
      </c>
      <c r="Q21" s="78">
        <f t="shared" si="17"/>
        <v>8</v>
      </c>
      <c r="R21" s="78">
        <f t="shared" si="18"/>
        <v>1170</v>
      </c>
      <c r="S21" s="78">
        <f t="shared" si="18"/>
        <v>1112</v>
      </c>
      <c r="T21" s="78">
        <f t="shared" si="6"/>
        <v>29</v>
      </c>
      <c r="U21" s="78">
        <f t="shared" si="19"/>
        <v>8</v>
      </c>
      <c r="V21" s="78">
        <f t="shared" si="20"/>
        <v>6</v>
      </c>
      <c r="W21" s="78">
        <f t="shared" si="21"/>
        <v>0</v>
      </c>
      <c r="X21" s="78">
        <f t="shared" si="22"/>
        <v>2</v>
      </c>
      <c r="Y21" s="78">
        <f t="shared" si="23"/>
        <v>848</v>
      </c>
      <c r="Z21" s="78">
        <f t="shared" si="24"/>
        <v>672</v>
      </c>
      <c r="AA21" s="78">
        <f t="shared" si="7"/>
        <v>18</v>
      </c>
      <c r="AB21" s="78">
        <f t="shared" si="25"/>
        <v>11</v>
      </c>
      <c r="AC21" s="78">
        <f t="shared" si="26"/>
        <v>3</v>
      </c>
      <c r="AD21" s="78">
        <f t="shared" si="27"/>
        <v>2</v>
      </c>
      <c r="AE21" s="78">
        <f t="shared" si="28"/>
        <v>6</v>
      </c>
      <c r="AF21" s="78">
        <f t="shared" si="29"/>
        <v>322</v>
      </c>
      <c r="AG21" s="78">
        <f t="shared" si="30"/>
        <v>440</v>
      </c>
      <c r="AH21" s="79">
        <f t="shared" si="8"/>
        <v>11</v>
      </c>
      <c r="AI21" s="53">
        <f t="shared" si="31"/>
        <v>0</v>
      </c>
      <c r="AJ21" s="54">
        <f t="shared" si="32"/>
        <v>0</v>
      </c>
      <c r="AK21" s="54">
        <f t="shared" si="33"/>
        <v>0</v>
      </c>
      <c r="AL21" s="54">
        <f t="shared" si="34"/>
        <v>8</v>
      </c>
      <c r="AM21" s="54">
        <f t="shared" si="35"/>
        <v>4</v>
      </c>
      <c r="AN21" s="54">
        <f t="shared" si="36"/>
        <v>1</v>
      </c>
      <c r="AO21" s="54">
        <f t="shared" si="37"/>
        <v>3</v>
      </c>
      <c r="AP21" s="55">
        <f t="shared" si="38"/>
        <v>3</v>
      </c>
      <c r="AQ21" s="56">
        <f t="shared" si="9"/>
        <v>61.578947368421055</v>
      </c>
      <c r="AR21" s="57">
        <f t="shared" si="39"/>
        <v>58.526315789473685</v>
      </c>
      <c r="AS21" s="58">
        <f t="shared" si="40"/>
        <v>-0.82272727272727286</v>
      </c>
      <c r="AT21" s="118" t="str">
        <f t="shared" si="10"/>
        <v>Н</v>
      </c>
    </row>
    <row r="22" spans="1:46" ht="13.5" hidden="1" customHeight="1" thickBot="1">
      <c r="A22" s="123" t="s">
        <v>95</v>
      </c>
      <c r="B22" s="124" t="s">
        <v>78</v>
      </c>
      <c r="C22" s="124" t="s">
        <v>79</v>
      </c>
      <c r="D22" s="124" t="s">
        <v>57</v>
      </c>
      <c r="E22" s="67"/>
      <c r="F22" s="77" t="str">
        <f t="shared" si="0"/>
        <v>Нафтан</v>
      </c>
      <c r="G22" s="77" t="str">
        <f t="shared" si="1"/>
        <v>Шахтер С</v>
      </c>
      <c r="H22" s="46">
        <f t="shared" si="2"/>
        <v>1</v>
      </c>
      <c r="I22" s="46">
        <f t="shared" si="41"/>
        <v>1</v>
      </c>
      <c r="J22" s="41" t="str">
        <f t="shared" si="13"/>
        <v>В гостях</v>
      </c>
      <c r="K22" s="41" t="str">
        <f t="shared" si="3"/>
        <v>Н</v>
      </c>
      <c r="L22" s="46">
        <f t="shared" si="4"/>
        <v>1</v>
      </c>
      <c r="M22" s="46">
        <f t="shared" si="5"/>
        <v>1</v>
      </c>
      <c r="N22" s="78">
        <f t="shared" si="14"/>
        <v>20</v>
      </c>
      <c r="O22" s="78">
        <f t="shared" si="15"/>
        <v>9</v>
      </c>
      <c r="P22" s="78">
        <f t="shared" si="16"/>
        <v>3</v>
      </c>
      <c r="Q22" s="78">
        <f t="shared" si="17"/>
        <v>8</v>
      </c>
      <c r="R22" s="78">
        <f t="shared" si="18"/>
        <v>1171</v>
      </c>
      <c r="S22" s="78">
        <f t="shared" si="18"/>
        <v>1113</v>
      </c>
      <c r="T22" s="78">
        <f t="shared" si="6"/>
        <v>30</v>
      </c>
      <c r="U22" s="78">
        <f t="shared" si="19"/>
        <v>8</v>
      </c>
      <c r="V22" s="78">
        <f t="shared" si="20"/>
        <v>6</v>
      </c>
      <c r="W22" s="78">
        <f t="shared" si="21"/>
        <v>0</v>
      </c>
      <c r="X22" s="78">
        <f t="shared" si="22"/>
        <v>2</v>
      </c>
      <c r="Y22" s="78">
        <f t="shared" si="23"/>
        <v>848</v>
      </c>
      <c r="Z22" s="78">
        <f t="shared" si="24"/>
        <v>672</v>
      </c>
      <c r="AA22" s="78">
        <f t="shared" si="7"/>
        <v>18</v>
      </c>
      <c r="AB22" s="78">
        <f t="shared" si="25"/>
        <v>12</v>
      </c>
      <c r="AC22" s="78">
        <f t="shared" si="26"/>
        <v>3</v>
      </c>
      <c r="AD22" s="78">
        <f t="shared" si="27"/>
        <v>3</v>
      </c>
      <c r="AE22" s="78">
        <f t="shared" si="28"/>
        <v>6</v>
      </c>
      <c r="AF22" s="78">
        <f t="shared" si="29"/>
        <v>323</v>
      </c>
      <c r="AG22" s="78">
        <f t="shared" si="30"/>
        <v>441</v>
      </c>
      <c r="AH22" s="79">
        <f t="shared" si="8"/>
        <v>12</v>
      </c>
      <c r="AI22" s="59">
        <f t="shared" si="31"/>
        <v>0</v>
      </c>
      <c r="AJ22" s="60">
        <f t="shared" si="32"/>
        <v>0</v>
      </c>
      <c r="AK22" s="60">
        <f t="shared" si="33"/>
        <v>0</v>
      </c>
      <c r="AL22" s="60">
        <f t="shared" si="34"/>
        <v>8</v>
      </c>
      <c r="AM22" s="60">
        <f t="shared" si="35"/>
        <v>4</v>
      </c>
      <c r="AN22" s="60">
        <f t="shared" si="36"/>
        <v>2</v>
      </c>
      <c r="AO22" s="60">
        <f t="shared" si="37"/>
        <v>3</v>
      </c>
      <c r="AP22" s="61">
        <f t="shared" si="38"/>
        <v>3</v>
      </c>
      <c r="AQ22" s="62">
        <f t="shared" si="9"/>
        <v>58.55</v>
      </c>
      <c r="AR22" s="63">
        <f t="shared" si="39"/>
        <v>55.65</v>
      </c>
      <c r="AS22" s="64">
        <f t="shared" si="40"/>
        <v>-0.84166666666666667</v>
      </c>
      <c r="AT22" s="118" t="str">
        <f t="shared" si="10"/>
        <v>Н</v>
      </c>
    </row>
    <row r="23" spans="1:46" ht="12.75" hidden="1" customHeight="1">
      <c r="A23" s="125" t="s">
        <v>96</v>
      </c>
      <c r="B23" s="126" t="s">
        <v>79</v>
      </c>
      <c r="C23" s="3" t="s">
        <v>74</v>
      </c>
      <c r="D23" s="127">
        <v>1.3888888888888889E-3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46" ht="12.75" hidden="1" customHeight="1">
      <c r="A24" s="125" t="s">
        <v>97</v>
      </c>
      <c r="B24" s="126" t="s">
        <v>75</v>
      </c>
      <c r="C24" s="3" t="s">
        <v>79</v>
      </c>
      <c r="D24" s="127">
        <v>0</v>
      </c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46" ht="12.75" hidden="1" customHeight="1">
      <c r="A25" s="125" t="s">
        <v>98</v>
      </c>
      <c r="B25" s="126" t="s">
        <v>79</v>
      </c>
      <c r="C25" s="3" t="s">
        <v>73</v>
      </c>
      <c r="D25" s="127">
        <v>4.1666666666666664E-2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46" ht="12.75" hidden="1" customHeight="1">
      <c r="A26" s="125" t="s">
        <v>99</v>
      </c>
      <c r="B26" s="126" t="s">
        <v>77</v>
      </c>
      <c r="C26" s="3" t="s">
        <v>79</v>
      </c>
      <c r="D26" s="127">
        <v>8.3333333333333329E-2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46" ht="12.75" hidden="1" customHeight="1">
      <c r="A27" s="128">
        <v>40643</v>
      </c>
      <c r="B27" s="3" t="s">
        <v>79</v>
      </c>
      <c r="C27" s="3" t="s">
        <v>81</v>
      </c>
      <c r="D27" s="127">
        <v>4.1666666666666664E-2</v>
      </c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46" ht="12.75" hidden="1" customHeight="1">
      <c r="A28" s="128">
        <v>40639</v>
      </c>
      <c r="B28" s="3" t="s">
        <v>91</v>
      </c>
      <c r="C28" s="3" t="s">
        <v>79</v>
      </c>
      <c r="D28" s="127">
        <v>6.9444444444444447E-4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46" ht="12.75" hidden="1" customHeight="1">
      <c r="A29" s="128">
        <v>40635</v>
      </c>
      <c r="B29" s="3" t="s">
        <v>82</v>
      </c>
      <c r="C29" s="3" t="s">
        <v>79</v>
      </c>
      <c r="D29" s="127">
        <v>4.1666666666666664E-2</v>
      </c>
    </row>
    <row r="30" spans="1:46" ht="12.75" hidden="1" customHeight="1">
      <c r="A30" s="128"/>
      <c r="D30" s="127"/>
    </row>
    <row r="31" spans="1:46" ht="12.75" hidden="1" customHeight="1">
      <c r="A31" s="128"/>
      <c r="D31" s="127"/>
    </row>
    <row r="32" spans="1:46" ht="12.75" hidden="1" customHeight="1">
      <c r="A32" s="128"/>
      <c r="D32" s="127"/>
    </row>
    <row r="33" spans="1:4" ht="12.75" hidden="1" customHeight="1">
      <c r="A33" s="128"/>
      <c r="D33" s="127"/>
    </row>
    <row r="34" spans="1:4" ht="12.75" hidden="1" customHeight="1">
      <c r="A34" s="128"/>
      <c r="D34" s="127"/>
    </row>
    <row r="35" spans="1:4" ht="12.75" hidden="1" customHeight="1">
      <c r="A35" s="128"/>
      <c r="D35" s="127"/>
    </row>
    <row r="36" spans="1:4" ht="12.75" hidden="1" customHeight="1">
      <c r="A36" s="128"/>
      <c r="D36" s="127"/>
    </row>
    <row r="37" spans="1:4" ht="12.75" hidden="1" customHeight="1">
      <c r="A37" s="128"/>
      <c r="D37" s="127"/>
    </row>
    <row r="38" spans="1:4" ht="12.75" hidden="1" customHeight="1">
      <c r="A38" s="128"/>
      <c r="D38" s="127"/>
    </row>
    <row r="39" spans="1:4" ht="12.75" hidden="1" customHeight="1">
      <c r="A39" s="128"/>
      <c r="D39" s="127"/>
    </row>
    <row r="40" spans="1:4" ht="12.75" hidden="1" customHeight="1">
      <c r="A40" s="128"/>
      <c r="D40" s="127"/>
    </row>
    <row r="41" spans="1:4" ht="12.75" hidden="1" customHeight="1">
      <c r="A41" s="128"/>
      <c r="D41" s="127"/>
    </row>
    <row r="42" spans="1:4" ht="12.75" hidden="1" customHeight="1">
      <c r="A42" s="128"/>
      <c r="D42" s="127"/>
    </row>
    <row r="43" spans="1:4">
      <c r="A43" s="128"/>
      <c r="D43" s="127"/>
    </row>
  </sheetData>
  <mergeCells count="8">
    <mergeCell ref="A2:B2"/>
    <mergeCell ref="C2:D2"/>
    <mergeCell ref="AM1:AP1"/>
    <mergeCell ref="A1:M1"/>
    <mergeCell ref="N1:T1"/>
    <mergeCell ref="U1:AA1"/>
    <mergeCell ref="AB1:AH1"/>
    <mergeCell ref="AI1:AL1"/>
  </mergeCells>
  <pageMargins left="0.7" right="0.7" top="0.75" bottom="0.75" header="0.3" footer="0.3"/>
  <pageSetup paperSize="9" orientation="landscape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40"/>
  <sheetViews>
    <sheetView tabSelected="1" view="pageBreakPreview" topLeftCell="F14" zoomScaleNormal="100" zoomScaleSheetLayoutView="100" workbookViewId="0">
      <selection activeCell="K15" sqref="K15"/>
    </sheetView>
  </sheetViews>
  <sheetFormatPr defaultRowHeight="12.75"/>
  <cols>
    <col min="1" max="1" width="8" bestFit="1" customWidth="1"/>
    <col min="2" max="2" width="9.28515625" bestFit="1" customWidth="1"/>
    <col min="3" max="3" width="6.85546875" bestFit="1" customWidth="1"/>
    <col min="4" max="4" width="7.140625" customWidth="1"/>
    <col min="5" max="5" width="11" bestFit="1" customWidth="1"/>
    <col min="6" max="6" width="6.85546875" bestFit="1" customWidth="1"/>
    <col min="7" max="7" width="10.5703125" bestFit="1" customWidth="1"/>
    <col min="8" max="8" width="9.28515625" customWidth="1"/>
    <col min="9" max="9" width="9.28515625" bestFit="1" customWidth="1"/>
    <col min="10" max="10" width="7.5703125" bestFit="1" customWidth="1"/>
    <col min="11" max="11" width="5.140625" bestFit="1" customWidth="1"/>
    <col min="12" max="12" width="11" bestFit="1" customWidth="1"/>
    <col min="13" max="13" width="6.85546875" bestFit="1" customWidth="1"/>
    <col min="14" max="14" width="10.5703125" bestFit="1" customWidth="1"/>
    <col min="15" max="15" width="9.28515625" bestFit="1" customWidth="1"/>
    <col min="16" max="16" width="4.140625" bestFit="1" customWidth="1"/>
    <col min="17" max="17" width="8" bestFit="1" customWidth="1"/>
    <col min="18" max="18" width="11" bestFit="1" customWidth="1"/>
    <col min="19" max="19" width="7.28515625" bestFit="1" customWidth="1"/>
    <col min="20" max="20" width="6.85546875" bestFit="1" customWidth="1"/>
    <col min="21" max="21" width="10.5703125" bestFit="1" customWidth="1"/>
    <col min="22" max="22" width="4.7109375" customWidth="1"/>
    <col min="23" max="23" width="5.5703125" customWidth="1"/>
    <col min="24" max="24" width="9.85546875" customWidth="1"/>
    <col min="25" max="26" width="4.7109375" customWidth="1"/>
    <col min="27" max="31" width="4.7109375" hidden="1" customWidth="1"/>
    <col min="32" max="41" width="4.7109375" customWidth="1"/>
  </cols>
  <sheetData>
    <row r="1" spans="1:35" ht="12.75" hidden="1" customHeight="1">
      <c r="A1" s="68"/>
      <c r="B1" s="181" t="s">
        <v>14</v>
      </c>
      <c r="C1" s="181"/>
      <c r="D1" s="181"/>
      <c r="E1" s="181"/>
      <c r="F1" s="181"/>
      <c r="G1" s="181"/>
      <c r="H1" s="181"/>
      <c r="I1" s="182" t="s">
        <v>15</v>
      </c>
      <c r="J1" s="182"/>
      <c r="K1" s="182"/>
      <c r="L1" s="182"/>
      <c r="M1" s="182"/>
      <c r="N1" s="182"/>
      <c r="O1" s="182"/>
      <c r="P1" s="183" t="s">
        <v>17</v>
      </c>
      <c r="Q1" s="183"/>
      <c r="R1" s="183"/>
      <c r="S1" s="183"/>
      <c r="T1" s="183"/>
      <c r="U1" s="183"/>
      <c r="V1" s="183"/>
    </row>
    <row r="2" spans="1:35" ht="12.75" hidden="1" customHeight="1">
      <c r="A2" s="4"/>
      <c r="B2" s="69" t="s">
        <v>9</v>
      </c>
      <c r="C2" s="70" t="s">
        <v>10</v>
      </c>
      <c r="D2" s="70" t="s">
        <v>11</v>
      </c>
      <c r="E2" s="70" t="s">
        <v>12</v>
      </c>
      <c r="F2" s="71" t="s">
        <v>7</v>
      </c>
      <c r="G2" s="71" t="s">
        <v>8</v>
      </c>
      <c r="H2" s="70" t="s">
        <v>13</v>
      </c>
      <c r="I2" s="70" t="s">
        <v>9</v>
      </c>
      <c r="J2" s="70" t="s">
        <v>10</v>
      </c>
      <c r="K2" s="70" t="s">
        <v>11</v>
      </c>
      <c r="L2" s="70" t="s">
        <v>12</v>
      </c>
      <c r="M2" s="71" t="s">
        <v>7</v>
      </c>
      <c r="N2" s="71" t="s">
        <v>8</v>
      </c>
      <c r="O2" s="70" t="s">
        <v>13</v>
      </c>
      <c r="P2" s="70" t="s">
        <v>9</v>
      </c>
      <c r="Q2" s="70" t="s">
        <v>10</v>
      </c>
      <c r="R2" s="70" t="s">
        <v>11</v>
      </c>
      <c r="S2" s="70" t="s">
        <v>12</v>
      </c>
      <c r="T2" s="71" t="s">
        <v>7</v>
      </c>
      <c r="U2" s="71" t="s">
        <v>8</v>
      </c>
      <c r="V2" s="70" t="s">
        <v>13</v>
      </c>
    </row>
    <row r="3" spans="1:35" ht="12.75" hidden="1" customHeight="1">
      <c r="A3" s="4" t="s">
        <v>18</v>
      </c>
      <c r="B3" s="15">
        <f>Команда1!N12</f>
        <v>10</v>
      </c>
      <c r="C3" s="16">
        <f>Команда1!O12</f>
        <v>8</v>
      </c>
      <c r="D3" s="16">
        <f>Команда1!P12</f>
        <v>0</v>
      </c>
      <c r="E3" s="16">
        <f>Команда1!Q12</f>
        <v>2</v>
      </c>
      <c r="F3" s="16">
        <f>Команда1!R12</f>
        <v>1120</v>
      </c>
      <c r="G3" s="17">
        <f>Команда1!S12</f>
        <v>1026</v>
      </c>
      <c r="H3" s="16">
        <f>Команда1!T12</f>
        <v>24</v>
      </c>
      <c r="I3" s="16">
        <f>Команда1!U12</f>
        <v>4</v>
      </c>
      <c r="J3" s="16">
        <f>Команда1!V12</f>
        <v>4</v>
      </c>
      <c r="K3" s="16">
        <f>Команда1!W12</f>
        <v>0</v>
      </c>
      <c r="L3" s="16">
        <f>Команда1!X12</f>
        <v>0</v>
      </c>
      <c r="M3" s="16">
        <f>Команда1!Y12</f>
        <v>449</v>
      </c>
      <c r="N3" s="17">
        <f>Команда1!Z12</f>
        <v>411</v>
      </c>
      <c r="O3" s="16">
        <f>Команда1!AA12</f>
        <v>12</v>
      </c>
      <c r="P3" s="16">
        <f>Команда1!AB12</f>
        <v>6</v>
      </c>
      <c r="Q3" s="16">
        <f>Команда1!AC12</f>
        <v>4</v>
      </c>
      <c r="R3" s="16">
        <f>Команда1!AD12</f>
        <v>0</v>
      </c>
      <c r="S3" s="16">
        <f>Команда1!AE12</f>
        <v>2</v>
      </c>
      <c r="T3" s="16">
        <f>Команда1!AF12</f>
        <v>671</v>
      </c>
      <c r="U3" s="17">
        <f>Команда1!AG12</f>
        <v>615</v>
      </c>
      <c r="V3" s="16">
        <f>Команда1!AH12</f>
        <v>12</v>
      </c>
    </row>
    <row r="4" spans="1:35" ht="12.75" hidden="1" customHeight="1">
      <c r="A4" s="4" t="s">
        <v>19</v>
      </c>
      <c r="B4" s="15">
        <f>Команда2!N12</f>
        <v>10</v>
      </c>
      <c r="C4" s="16">
        <f>Команда2!O12</f>
        <v>6</v>
      </c>
      <c r="D4" s="16">
        <f>Команда2!P12</f>
        <v>0</v>
      </c>
      <c r="E4" s="16">
        <f>Команда2!Q12</f>
        <v>4</v>
      </c>
      <c r="F4" s="16">
        <f>Команда2!R12</f>
        <v>1068</v>
      </c>
      <c r="G4" s="17">
        <f>Команда2!S12</f>
        <v>983</v>
      </c>
      <c r="H4" s="16">
        <f>Команда2!T12</f>
        <v>18</v>
      </c>
      <c r="I4" s="16">
        <f>Команда2!U12</f>
        <v>7</v>
      </c>
      <c r="J4" s="16">
        <f>Команда2!V12</f>
        <v>5</v>
      </c>
      <c r="K4" s="16">
        <f>Команда2!W12</f>
        <v>0</v>
      </c>
      <c r="L4" s="16">
        <f>Команда2!X12</f>
        <v>2</v>
      </c>
      <c r="M4" s="16">
        <f>Команда2!Y12</f>
        <v>753</v>
      </c>
      <c r="N4" s="17">
        <f>Команда2!Z12</f>
        <v>663</v>
      </c>
      <c r="O4" s="16">
        <f>Команда2!AA12</f>
        <v>15</v>
      </c>
      <c r="P4" s="16">
        <f>Команда2!AB12</f>
        <v>3</v>
      </c>
      <c r="Q4" s="16">
        <f>Команда2!AC12</f>
        <v>1</v>
      </c>
      <c r="R4" s="16">
        <f>Команда2!AD12</f>
        <v>0</v>
      </c>
      <c r="S4" s="16">
        <f>Команда2!AE12</f>
        <v>2</v>
      </c>
      <c r="T4" s="16">
        <f>Команда2!AF12</f>
        <v>315</v>
      </c>
      <c r="U4" s="17">
        <f>Команда2!AG12</f>
        <v>320</v>
      </c>
      <c r="V4" s="106">
        <f>Команда2!AH12</f>
        <v>3</v>
      </c>
    </row>
    <row r="5" spans="1:35" ht="12.75" hidden="1" customHeight="1">
      <c r="A5" s="4"/>
      <c r="B5" s="6" t="s">
        <v>20</v>
      </c>
      <c r="C5" s="7"/>
      <c r="D5" s="5"/>
      <c r="E5" s="6" t="s">
        <v>21</v>
      </c>
      <c r="F5" s="7"/>
      <c r="G5" s="7"/>
      <c r="H5" s="5"/>
      <c r="I5" s="6" t="s">
        <v>20</v>
      </c>
      <c r="J5" s="7"/>
      <c r="K5" s="5"/>
      <c r="L5" s="6" t="s">
        <v>21</v>
      </c>
      <c r="M5" s="7"/>
      <c r="N5" s="5"/>
      <c r="O5" s="6" t="s">
        <v>20</v>
      </c>
      <c r="P5" s="7"/>
      <c r="Q5" s="5"/>
      <c r="R5" s="6" t="s">
        <v>21</v>
      </c>
      <c r="S5" s="7"/>
      <c r="T5" s="5"/>
      <c r="U5" s="104">
        <v>1</v>
      </c>
      <c r="V5" s="107">
        <f>J3/I3/(J3/I3+K3/I3+Q4/P4+R4/P4)</f>
        <v>0.75</v>
      </c>
      <c r="W5" s="107">
        <f>C3/B3/(C3/B3+D3/B3+D4/B4+C4/B4)</f>
        <v>0.57142857142857151</v>
      </c>
    </row>
    <row r="6" spans="1:35" ht="12.75" hidden="1" customHeight="1">
      <c r="A6" s="4" t="s">
        <v>18</v>
      </c>
      <c r="B6" s="198">
        <f>F3/B3</f>
        <v>112</v>
      </c>
      <c r="C6" s="199"/>
      <c r="D6" s="200"/>
      <c r="E6" s="198">
        <f>G3/B3</f>
        <v>102.6</v>
      </c>
      <c r="F6" s="199"/>
      <c r="G6" s="199"/>
      <c r="H6" s="200"/>
      <c r="I6" s="184">
        <f>M3/I3</f>
        <v>112.25</v>
      </c>
      <c r="J6" s="185"/>
      <c r="K6" s="186"/>
      <c r="L6" s="184">
        <f>N3/I3</f>
        <v>102.75</v>
      </c>
      <c r="M6" s="185"/>
      <c r="N6" s="186"/>
      <c r="O6" s="187">
        <f>T3/P3</f>
        <v>111.83333333333333</v>
      </c>
      <c r="P6" s="188"/>
      <c r="Q6" s="189"/>
      <c r="R6" s="187">
        <f>U3/P3</f>
        <v>102.5</v>
      </c>
      <c r="S6" s="188"/>
      <c r="T6" s="189"/>
      <c r="U6" s="105" t="s">
        <v>31</v>
      </c>
      <c r="V6" s="107">
        <f>(K3/I3+R4/P4)/(J3/I3+K3/I3+Q4/P4+R4/P4)</f>
        <v>0</v>
      </c>
      <c r="W6" s="108">
        <f>(D3/B3+D4/B4)/(C3/B3+D3/B3+D4/B4+C4/B4)</f>
        <v>0</v>
      </c>
    </row>
    <row r="7" spans="1:35" ht="12.75" hidden="1" customHeight="1">
      <c r="A7" s="4" t="s">
        <v>19</v>
      </c>
      <c r="B7" s="198">
        <f>F4/B4</f>
        <v>106.8</v>
      </c>
      <c r="C7" s="199"/>
      <c r="D7" s="200"/>
      <c r="E7" s="198">
        <f>G4/B4</f>
        <v>98.3</v>
      </c>
      <c r="F7" s="199"/>
      <c r="G7" s="199"/>
      <c r="H7" s="200"/>
      <c r="I7" s="187">
        <f>M4/I4</f>
        <v>107.57142857142857</v>
      </c>
      <c r="J7" s="188"/>
      <c r="K7" s="189"/>
      <c r="L7" s="187">
        <f>N4/I4</f>
        <v>94.714285714285708</v>
      </c>
      <c r="M7" s="188"/>
      <c r="N7" s="189"/>
      <c r="O7" s="184">
        <f>T4/P4</f>
        <v>105</v>
      </c>
      <c r="P7" s="185"/>
      <c r="Q7" s="186"/>
      <c r="R7" s="184">
        <f>U4/P4</f>
        <v>106.66666666666667</v>
      </c>
      <c r="S7" s="185"/>
      <c r="T7" s="186"/>
      <c r="U7" s="104">
        <v>2</v>
      </c>
      <c r="V7" s="107">
        <f>Q4/P4/(J3/I3+K3/I3+Q4/P4+R4/P4)</f>
        <v>0.25</v>
      </c>
      <c r="W7" s="108">
        <f>C4/B4/(C3/B3+D3/B3+D4/B4+C4/B4)</f>
        <v>0.4285714285714286</v>
      </c>
    </row>
    <row r="8" spans="1:35" ht="12.75" hidden="1" customHeight="1">
      <c r="A8" s="4" t="s">
        <v>22</v>
      </c>
      <c r="B8" s="192" t="s">
        <v>23</v>
      </c>
      <c r="C8" s="193"/>
      <c r="D8" s="192" t="s">
        <v>48</v>
      </c>
      <c r="E8" s="193"/>
      <c r="F8" s="192" t="s">
        <v>24</v>
      </c>
      <c r="G8" s="193"/>
      <c r="H8" s="8" t="s">
        <v>25</v>
      </c>
      <c r="I8" s="27" t="s">
        <v>53</v>
      </c>
      <c r="J8" s="27" t="s">
        <v>54</v>
      </c>
      <c r="K8" s="27" t="s">
        <v>55</v>
      </c>
      <c r="L8" s="27" t="s">
        <v>56</v>
      </c>
    </row>
    <row r="9" spans="1:35" ht="12.75" hidden="1" customHeight="1">
      <c r="A9" s="4" t="s">
        <v>18</v>
      </c>
      <c r="B9" s="194">
        <f>AVERAGE(I6,B6)+AVERAGE(R7,E7)-AVERAGE(1.25,O9)</f>
        <v>185.00833333333335</v>
      </c>
      <c r="C9" s="195"/>
      <c r="D9" s="196">
        <f>(I6-L6+B6-E6)/2</f>
        <v>9.4500000000000028</v>
      </c>
      <c r="E9" s="197"/>
      <c r="F9" s="190">
        <f>(O3/I3+V3/P3*1.1+I6-L6*1.1+O6*1.1-R6)/12.6</f>
        <v>1.9794973544973542</v>
      </c>
      <c r="G9" s="191"/>
      <c r="H9" s="10">
        <f>B9</f>
        <v>185.00833333333335</v>
      </c>
      <c r="I9" s="72">
        <f>Команда1!Y7*1.5+Команда1!AF7*2</f>
        <v>892</v>
      </c>
      <c r="J9" s="81">
        <f>Команда1!Z7*1.5+Команда1!AG7</f>
        <v>638.5</v>
      </c>
      <c r="K9" s="72">
        <f>I9/5</f>
        <v>178.4</v>
      </c>
      <c r="L9" s="82">
        <f>J9/5</f>
        <v>127.7</v>
      </c>
      <c r="M9" s="179" t="s">
        <v>64</v>
      </c>
      <c r="N9" s="179"/>
      <c r="O9" s="109">
        <f>AVERAGE(Команда1!L3:M22,Команда2!L3:M22)</f>
        <v>57.95</v>
      </c>
    </row>
    <row r="10" spans="1:35" ht="12.75" hidden="1" customHeight="1">
      <c r="A10" s="4" t="s">
        <v>19</v>
      </c>
      <c r="B10" s="194">
        <f>AVERAGE(O7,B7)+AVERAGE(L6,E6)-AVERAGE(1.25,O9)</f>
        <v>178.97499999999999</v>
      </c>
      <c r="C10" s="195"/>
      <c r="D10" s="196">
        <f>(O7-R7+B7-E7)/2</f>
        <v>3.4166666666666643</v>
      </c>
      <c r="E10" s="197"/>
      <c r="F10" s="190">
        <f>(O4/I4+V4/P4*1.1+I7-L7*1.1+O7*1.1-R7)/12.6</f>
        <v>1.2271352985638713</v>
      </c>
      <c r="G10" s="191"/>
      <c r="H10" s="10">
        <f>B10</f>
        <v>178.97499999999999</v>
      </c>
      <c r="I10" s="72">
        <f>Команда2!Y7*1.5+Команда2!AF7*2</f>
        <v>847</v>
      </c>
      <c r="J10" s="82">
        <f>Команда2!Z7*1.5+Команда2!AG7</f>
        <v>644.5</v>
      </c>
      <c r="K10" s="72">
        <f>I10/5</f>
        <v>169.4</v>
      </c>
      <c r="L10" s="82">
        <f>J10/5</f>
        <v>128.9</v>
      </c>
    </row>
    <row r="11" spans="1:35" ht="0.75" hidden="1" customHeight="1">
      <c r="A11" s="4" t="s">
        <v>26</v>
      </c>
      <c r="B11" s="194">
        <f>B9+B10</f>
        <v>363.98333333333335</v>
      </c>
      <c r="C11" s="195"/>
      <c r="D11" s="213"/>
      <c r="E11" s="214"/>
      <c r="F11" s="214"/>
      <c r="G11" s="214"/>
      <c r="H11" s="215"/>
      <c r="I11" s="210">
        <f>((K9+L10)/2+(K10+L9)/2)/2</f>
        <v>151.10000000000002</v>
      </c>
      <c r="J11" s="210"/>
      <c r="K11" s="210"/>
      <c r="L11" s="210"/>
    </row>
    <row r="12" spans="1:35" ht="12.75" hidden="1" customHeight="1">
      <c r="A12" s="11" t="s">
        <v>27</v>
      </c>
      <c r="B12" s="11" t="s">
        <v>28</v>
      </c>
      <c r="C12" s="11" t="s">
        <v>29</v>
      </c>
      <c r="D12" s="209" t="s">
        <v>48</v>
      </c>
      <c r="E12" s="208"/>
      <c r="F12" s="206" t="s">
        <v>30</v>
      </c>
      <c r="G12" s="207"/>
      <c r="H12" s="208"/>
      <c r="I12" s="211" t="s">
        <v>24</v>
      </c>
      <c r="J12" s="212"/>
    </row>
    <row r="13" spans="1:35" ht="11.25" hidden="1" customHeight="1">
      <c r="A13" s="13">
        <f>B11</f>
        <v>363.98333333333335</v>
      </c>
      <c r="B13" s="14">
        <f>B9</f>
        <v>185.00833333333335</v>
      </c>
      <c r="C13" s="14">
        <f>B10</f>
        <v>178.97499999999999</v>
      </c>
      <c r="D13" s="40">
        <f>D9</f>
        <v>9.4500000000000028</v>
      </c>
      <c r="E13" s="40">
        <f>D10</f>
        <v>3.4166666666666643</v>
      </c>
      <c r="F13" s="9">
        <f>AVERAGE(V5,W5)</f>
        <v>0.66071428571428581</v>
      </c>
      <c r="G13" s="9">
        <f>AVERAGE(V6,W6)</f>
        <v>0</v>
      </c>
      <c r="H13" s="9">
        <f>AVERAGE(V7,W7)</f>
        <v>0.3392857142857143</v>
      </c>
      <c r="I13" s="9">
        <f>F9</f>
        <v>1.9794973544973542</v>
      </c>
      <c r="J13" s="9">
        <f>F10</f>
        <v>1.2271352985638713</v>
      </c>
    </row>
    <row r="14" spans="1:35" ht="12" customHeight="1"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1:35" ht="14.25" customHeight="1">
      <c r="A15" s="18" t="s">
        <v>32</v>
      </c>
      <c r="B15" s="12" t="s">
        <v>27</v>
      </c>
      <c r="C15" s="12" t="s">
        <v>28</v>
      </c>
      <c r="D15" s="12" t="s">
        <v>29</v>
      </c>
      <c r="E15" s="209" t="s">
        <v>60</v>
      </c>
      <c r="F15" s="208"/>
      <c r="G15" s="206" t="s">
        <v>30</v>
      </c>
      <c r="H15" s="207"/>
      <c r="I15" s="208"/>
      <c r="J15" s="26" t="s">
        <v>24</v>
      </c>
      <c r="K15" s="26"/>
      <c r="L15" s="18" t="s">
        <v>34</v>
      </c>
      <c r="M15" s="25" t="s">
        <v>35</v>
      </c>
      <c r="N15" s="27" t="s">
        <v>46</v>
      </c>
      <c r="O15" s="27" t="s">
        <v>47</v>
      </c>
      <c r="Q15" s="179" t="s">
        <v>25</v>
      </c>
      <c r="R15" s="179"/>
      <c r="S15" s="84"/>
      <c r="T15" s="84"/>
      <c r="U15" s="84"/>
      <c r="W15" s="23"/>
      <c r="X15" s="98"/>
      <c r="Y15" s="98"/>
      <c r="Z15" s="98"/>
      <c r="AA15" s="54"/>
      <c r="AB15" s="54"/>
      <c r="AC15" s="54"/>
      <c r="AD15" s="54"/>
      <c r="AE15" s="54"/>
      <c r="AF15" s="54"/>
      <c r="AG15" s="89"/>
      <c r="AH15" s="54"/>
      <c r="AI15" s="23"/>
    </row>
    <row r="16" spans="1:35" ht="12" customHeight="1">
      <c r="A16" s="20" t="s">
        <v>33</v>
      </c>
      <c r="B16" s="21">
        <f>A13</f>
        <v>363.98333333333335</v>
      </c>
      <c r="C16" s="21">
        <f>Команда1!R12/10</f>
        <v>112</v>
      </c>
      <c r="D16" s="21">
        <f>Команда2!R12/10</f>
        <v>106.8</v>
      </c>
      <c r="E16" s="21" t="str">
        <f>CONCATENATE(Команда1!AT3,Команда1!AT4,Команда1!AT5,Команда1!AT6,Команда1!AT7,Команда1!AT8,Команда1!AT9,Команда1!AT10,Команда1!AT11,Команда1!AT12)</f>
        <v>ВВВВ</v>
      </c>
      <c r="F16" s="21" t="str">
        <f>CONCATENATE(Команда2!AT3,Команда2!AT4,Команда2!AT5,Команда2!AT6,Команда2!AT7,Команда2!AT8,Команда2!AT9,Команда2!AT10,Команда2!AT11,Команда2!AT12)</f>
        <v>ПВП</v>
      </c>
      <c r="G16" s="19">
        <f>F13</f>
        <v>0.66071428571428581</v>
      </c>
      <c r="H16" s="19">
        <f t="shared" ref="H16:K16" si="0">G13</f>
        <v>0</v>
      </c>
      <c r="I16" s="19">
        <f t="shared" si="0"/>
        <v>0.3392857142857143</v>
      </c>
      <c r="J16" s="19">
        <f t="shared" si="0"/>
        <v>1.9794973544973542</v>
      </c>
      <c r="K16" s="19">
        <f t="shared" si="0"/>
        <v>1.2271352985638713</v>
      </c>
      <c r="L16" s="22">
        <f>C16-D16</f>
        <v>5.2000000000000028</v>
      </c>
      <c r="M16" s="34" t="str">
        <f>IF(G16-I16&gt;0.23,"П1",IF(G16&gt;I16,"1X",IF(I16-G16&gt;0.24,"П2",IF(I16&gt;G16,"Х2",""))))</f>
        <v>П1</v>
      </c>
      <c r="N16" s="109">
        <f>AVERAGE(I6,B6)</f>
        <v>112.125</v>
      </c>
      <c r="O16" s="109">
        <f>AVERAGE(O7,B7)</f>
        <v>105.9</v>
      </c>
      <c r="Q16" s="178">
        <f>ROUND(AVERAGE(F21,N16),3)</f>
        <v>112.063</v>
      </c>
      <c r="R16" s="178">
        <f>ROUND(AVERAGE(G21,O16),3)</f>
        <v>106.35</v>
      </c>
      <c r="S16" s="84"/>
      <c r="T16" s="83"/>
      <c r="U16" s="83"/>
      <c r="W16" s="23"/>
      <c r="X16" s="97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23"/>
    </row>
    <row r="17" spans="1:41" ht="12" customHeight="1">
      <c r="A17" s="99"/>
      <c r="B17" s="100"/>
      <c r="C17" s="100"/>
      <c r="D17" s="100"/>
      <c r="E17" s="100"/>
      <c r="F17" s="100"/>
      <c r="G17" s="101"/>
      <c r="H17" s="101"/>
      <c r="I17" s="101"/>
      <c r="J17" s="101"/>
      <c r="K17" s="101"/>
      <c r="L17" s="102"/>
      <c r="M17" s="103"/>
      <c r="N17" s="23"/>
      <c r="O17" s="23"/>
      <c r="Q17" s="178"/>
      <c r="R17" s="178"/>
      <c r="S17" s="92"/>
      <c r="T17" s="85"/>
      <c r="U17" s="85"/>
      <c r="W17" s="23"/>
      <c r="X17" s="96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41" ht="12" customHeight="1">
      <c r="W18" s="23"/>
      <c r="X18" s="96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</row>
    <row r="19" spans="1:41" ht="12" customHeight="1">
      <c r="A19" s="180" t="s">
        <v>39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93"/>
      <c r="W19" s="23"/>
      <c r="X19" s="96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</row>
    <row r="20" spans="1:41" ht="12" customHeight="1">
      <c r="A20" s="179" t="s">
        <v>49</v>
      </c>
      <c r="B20" s="179"/>
      <c r="C20" s="179" t="s">
        <v>50</v>
      </c>
      <c r="D20" s="179"/>
      <c r="E20" s="110" t="s">
        <v>68</v>
      </c>
      <c r="F20" s="73" t="s">
        <v>28</v>
      </c>
      <c r="G20" s="73" t="s">
        <v>29</v>
      </c>
      <c r="H20" s="205" t="s">
        <v>60</v>
      </c>
      <c r="I20" s="201"/>
      <c r="J20" s="201" t="s">
        <v>30</v>
      </c>
      <c r="K20" s="201"/>
      <c r="L20" s="201"/>
      <c r="M20" s="134" t="s">
        <v>35</v>
      </c>
      <c r="N20" s="134" t="s">
        <v>63</v>
      </c>
      <c r="O20" s="74" t="s">
        <v>34</v>
      </c>
      <c r="P20" s="75" t="s">
        <v>62</v>
      </c>
      <c r="Q20" s="75" t="s">
        <v>51</v>
      </c>
      <c r="R20" s="75" t="s">
        <v>52</v>
      </c>
      <c r="S20" s="76" t="s">
        <v>42</v>
      </c>
      <c r="T20" s="76" t="s">
        <v>25</v>
      </c>
      <c r="U20" s="163" t="s">
        <v>183</v>
      </c>
      <c r="V20" s="94"/>
      <c r="W20" s="23"/>
      <c r="X20" s="96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</row>
    <row r="21" spans="1:41" ht="14.25" customHeight="1">
      <c r="A21" s="202" t="str">
        <f>Команда1!C2</f>
        <v>Хьюстон</v>
      </c>
      <c r="B21" s="203"/>
      <c r="C21" s="202" t="str">
        <f>Команда2!C2</f>
        <v>Портленд</v>
      </c>
      <c r="D21" s="204"/>
      <c r="E21" s="28">
        <f>B16</f>
        <v>363.98333333333335</v>
      </c>
      <c r="F21" s="28">
        <f t="shared" ref="F21:L21" si="1">C16</f>
        <v>112</v>
      </c>
      <c r="G21" s="28">
        <f t="shared" si="1"/>
        <v>106.8</v>
      </c>
      <c r="H21" s="28" t="str">
        <f>CONCATENATE(Команда1!AT3,Команда1!AT4,Команда1!AT5,Команда1!AT6,Команда1!AT7,Команда1!AT8,Команда1!AT9,Команда1!AT10,Команда1!AT11,Команда1!AT12)</f>
        <v>ВВВВ</v>
      </c>
      <c r="I21" s="28" t="str">
        <f>CONCATENATE(Команда2!AT3,Команда2!AT4,Команда2!AT5,Команда2!AT6,Команда2!AT7,Команда2!AT8,Команда2!AT9,Команда2!AT10,Команда2!AT11,Команда2!AT12)</f>
        <v>ПВП</v>
      </c>
      <c r="J21" s="29">
        <f t="shared" si="1"/>
        <v>0.66071428571428581</v>
      </c>
      <c r="K21" s="29">
        <f t="shared" si="1"/>
        <v>0</v>
      </c>
      <c r="L21" s="29">
        <f t="shared" si="1"/>
        <v>0.3392857142857143</v>
      </c>
      <c r="M21" s="29">
        <f>V5+V6/2</f>
        <v>0.75</v>
      </c>
      <c r="N21" s="29">
        <f>V7+V6/2</f>
        <v>0.25</v>
      </c>
      <c r="O21" s="28">
        <f>F21-G21</f>
        <v>5.2000000000000028</v>
      </c>
      <c r="P21" s="34" t="str">
        <f>IF(AND(J21-L21&gt;0.27,Q16&gt;R16),"П1",IF(AND(J21&gt;L21,Q16&gt;=R16),"1X",IF(AND(L21-J21&gt;0.12,R16&gt;0),"П2",IF(AND(L21&gt;J21,R16&gt;=Q16),"Х2",""))))</f>
        <v>П1</v>
      </c>
      <c r="Q21" s="148">
        <f>ROUND(AVERAGE(N16,N16),3)</f>
        <v>112.125</v>
      </c>
      <c r="R21" s="149">
        <f>ROUND(AVERAGE(O16,O16),3)</f>
        <v>105.9</v>
      </c>
      <c r="S21" s="24" t="str">
        <f>IF(E21&gt;180.85,IF(Q16+R16&gt;180.5,"ТБ(180,5)"," "),IF(E21&lt;180.2,IF(Q16+R16&lt;180.5,"ТМ(180,5)"," ")," "))</f>
        <v>ТБ(180,5)</v>
      </c>
      <c r="T21" s="39" t="str">
        <f>CONCATENATE(Q16,":",R16)</f>
        <v>112,063:106,35</v>
      </c>
      <c r="U21" s="115">
        <f>(COUNTIF(Команда2!AU3:AU12,"&gt;180,5")+COUNTIF(Команда1!AU3:AU12,"&gt;180,5"))/COUNT(Команда1!AU3:AU12,Команда2!AU3:AU12)</f>
        <v>1</v>
      </c>
      <c r="V21" s="95"/>
      <c r="W21" s="23"/>
      <c r="X21" s="96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</row>
    <row r="22" spans="1:41" ht="14.25" customHeight="1">
      <c r="A22" s="85"/>
      <c r="B22" s="85"/>
      <c r="C22" s="85"/>
      <c r="D22" s="85"/>
      <c r="E22" s="102"/>
      <c r="F22" s="102"/>
      <c r="G22" s="102"/>
      <c r="H22" s="102"/>
      <c r="I22" s="102"/>
      <c r="J22" s="113"/>
      <c r="K22" s="113"/>
      <c r="L22" s="113"/>
      <c r="M22" s="113"/>
      <c r="N22" s="113"/>
      <c r="O22" s="102"/>
      <c r="P22" s="103"/>
      <c r="Q22" s="103"/>
      <c r="R22" s="103"/>
      <c r="S22" s="24" t="str">
        <f>IF(E21&gt;190.85,IF(Q16+R16&gt;190.5,"ТБ(190,5)"," "),IF(E21&lt;190.2,IF(Q16+R16&lt;190.5,"ТМ(190,5)"," ")," "))</f>
        <v>ТБ(190,5)</v>
      </c>
      <c r="T22" s="114"/>
      <c r="U22" s="163" t="s">
        <v>184</v>
      </c>
      <c r="V22" s="95"/>
      <c r="W22" s="23"/>
      <c r="X22" s="96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spans="1:41" ht="12" customHeight="1">
      <c r="S23" s="24" t="str">
        <f>IF(E21&gt;210.85,IF(Q16+R16&gt;210.5,"ТБ(210,5)"," "),IF(E21&lt;210.2,IF(Q16+R16&lt;210.5,"ТМ(210,5)"," ")," "))</f>
        <v>ТБ(210,5)</v>
      </c>
      <c r="U23" s="115">
        <f>(COUNTIF(Команда2!AU3:AU12,"&gt;190,5")+COUNTIF(Команда1!AU3:AU12,"&gt;190,5"))/COUNT(Команда1!AU3:AU12,Команда2!AU3:AU12)</f>
        <v>1</v>
      </c>
      <c r="W23" s="23"/>
      <c r="X23" s="96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41" ht="12" customHeight="1">
      <c r="U24" s="163" t="s">
        <v>185</v>
      </c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</row>
    <row r="25" spans="1:41" ht="12" customHeight="1">
      <c r="U25" s="115">
        <f>(COUNTIF(Команда2!AU3:AU12,"&gt;210,5")+COUNTIF(Команда1!AU3:AU12,"&gt;210,5"))/COUNT(Команда1!AU3:AU12,Команда2!AU3:AU12)</f>
        <v>0.42857142857142855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41" ht="12" customHeight="1"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41" ht="12" customHeight="1"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41" ht="12" customHeight="1"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41" ht="12" customHeight="1">
      <c r="W29" s="23"/>
      <c r="X29" s="23"/>
      <c r="Y29" s="23"/>
      <c r="Z29" s="23"/>
      <c r="AA29" s="23"/>
      <c r="AB29" s="23"/>
      <c r="AC29" s="23"/>
      <c r="AD29" s="23"/>
      <c r="AE29" s="23"/>
      <c r="AF29" s="54"/>
      <c r="AG29" s="23"/>
      <c r="AH29" s="23"/>
      <c r="AI29" s="23"/>
    </row>
    <row r="30" spans="1:41" ht="12" customHeight="1"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54"/>
      <c r="AI30" s="54"/>
      <c r="AJ30" s="54"/>
      <c r="AK30" s="54"/>
      <c r="AL30" s="54"/>
      <c r="AM30" s="54"/>
      <c r="AN30" s="84"/>
      <c r="AO30" s="84"/>
    </row>
    <row r="31" spans="1:41" ht="12" customHeight="1"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86"/>
      <c r="AK31" s="86"/>
      <c r="AL31" s="86"/>
      <c r="AM31" s="86"/>
      <c r="AN31" s="54"/>
      <c r="AO31" s="54"/>
    </row>
    <row r="32" spans="1:41" ht="12" customHeight="1"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86"/>
      <c r="AK32" s="86"/>
      <c r="AL32" s="86"/>
      <c r="AM32" s="86"/>
      <c r="AN32" s="54"/>
      <c r="AO32" s="54"/>
    </row>
    <row r="33" spans="24:41" ht="15" customHeight="1">
      <c r="X33" s="54"/>
      <c r="Y33" s="87"/>
      <c r="Z33" s="87"/>
      <c r="AA33" s="87"/>
      <c r="AB33" s="87"/>
      <c r="AC33" s="87"/>
      <c r="AD33" s="87"/>
      <c r="AE33" s="87"/>
      <c r="AF33" s="87"/>
      <c r="AG33" s="87"/>
      <c r="AH33" s="86"/>
      <c r="AI33" s="86"/>
      <c r="AJ33" s="86"/>
      <c r="AK33" s="86"/>
      <c r="AL33" s="86"/>
      <c r="AM33" s="86"/>
      <c r="AN33" s="54"/>
      <c r="AO33" s="54"/>
    </row>
    <row r="34" spans="24:41" ht="12" customHeight="1">
      <c r="X34" s="54"/>
      <c r="Y34" s="88"/>
      <c r="Z34" s="88"/>
      <c r="AA34" s="88"/>
      <c r="AB34" s="88"/>
      <c r="AC34" s="88"/>
      <c r="AD34" s="88"/>
      <c r="AE34" s="88"/>
      <c r="AF34" s="88"/>
      <c r="AG34" s="88"/>
      <c r="AH34" s="54"/>
      <c r="AI34" s="54"/>
      <c r="AJ34" s="54"/>
      <c r="AK34" s="54"/>
      <c r="AL34" s="54"/>
      <c r="AM34" s="54"/>
      <c r="AN34" s="54"/>
      <c r="AO34" s="54"/>
    </row>
    <row r="35" spans="24:41" ht="12" customHeight="1"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86"/>
      <c r="AN35" s="54"/>
      <c r="AO35" s="54"/>
    </row>
    <row r="36" spans="24:41" ht="12" customHeight="1"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</row>
    <row r="37" spans="24:41" ht="12" customHeight="1">
      <c r="X37" s="89"/>
      <c r="Y37" s="90"/>
      <c r="Z37" s="91"/>
      <c r="AA37" s="91"/>
      <c r="AB37" s="91"/>
      <c r="AC37" s="91"/>
      <c r="AD37" s="91"/>
      <c r="AE37" s="91"/>
      <c r="AF37" s="90"/>
      <c r="AG37" s="54"/>
      <c r="AH37" s="54"/>
      <c r="AI37" s="54"/>
      <c r="AJ37" s="54"/>
      <c r="AK37" s="54"/>
      <c r="AL37" s="54"/>
      <c r="AM37" s="54"/>
      <c r="AN37" s="54"/>
      <c r="AO37" s="54"/>
    </row>
    <row r="38" spans="24:41" ht="12" customHeight="1"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</row>
    <row r="39" spans="24:41" ht="12" customHeight="1"/>
    <row r="40" spans="24:41" ht="12" customHeight="1"/>
  </sheetData>
  <mergeCells count="43">
    <mergeCell ref="B11:C11"/>
    <mergeCell ref="J20:L20"/>
    <mergeCell ref="A20:B20"/>
    <mergeCell ref="C20:D20"/>
    <mergeCell ref="A21:B21"/>
    <mergeCell ref="C21:D21"/>
    <mergeCell ref="H20:I20"/>
    <mergeCell ref="F12:H12"/>
    <mergeCell ref="D12:E12"/>
    <mergeCell ref="I11:L11"/>
    <mergeCell ref="I12:J12"/>
    <mergeCell ref="G15:I15"/>
    <mergeCell ref="E15:F15"/>
    <mergeCell ref="D11:H11"/>
    <mergeCell ref="Q16:Q17"/>
    <mergeCell ref="I6:K6"/>
    <mergeCell ref="I7:K7"/>
    <mergeCell ref="L7:N7"/>
    <mergeCell ref="L6:N6"/>
    <mergeCell ref="O7:Q7"/>
    <mergeCell ref="O6:Q6"/>
    <mergeCell ref="D10:E10"/>
    <mergeCell ref="B6:D6"/>
    <mergeCell ref="B7:D7"/>
    <mergeCell ref="E7:H7"/>
    <mergeCell ref="E6:H6"/>
    <mergeCell ref="F9:G9"/>
    <mergeCell ref="R16:R17"/>
    <mergeCell ref="Q15:R15"/>
    <mergeCell ref="A19:U19"/>
    <mergeCell ref="B1:H1"/>
    <mergeCell ref="I1:O1"/>
    <mergeCell ref="P1:V1"/>
    <mergeCell ref="R7:T7"/>
    <mergeCell ref="R6:T6"/>
    <mergeCell ref="F10:G10"/>
    <mergeCell ref="F8:G8"/>
    <mergeCell ref="B8:C8"/>
    <mergeCell ref="B9:C9"/>
    <mergeCell ref="B10:C10"/>
    <mergeCell ref="D8:E8"/>
    <mergeCell ref="M9:N9"/>
    <mergeCell ref="D9:E9"/>
  </mergeCells>
  <conditionalFormatting sqref="Y34:AG3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Y29"/>
  <sheetViews>
    <sheetView view="pageBreakPreview" zoomScaleNormal="100" zoomScaleSheetLayoutView="100" workbookViewId="0">
      <selection activeCell="P19" sqref="P19"/>
    </sheetView>
  </sheetViews>
  <sheetFormatPr defaultColWidth="9.140625" defaultRowHeight="12.75"/>
  <cols>
    <col min="1" max="1" width="3.140625" style="30" bestFit="1" customWidth="1"/>
    <col min="2" max="2" width="10.140625" style="30" bestFit="1" customWidth="1"/>
    <col min="3" max="3" width="7.7109375" style="30" customWidth="1"/>
    <col min="4" max="4" width="9.5703125" style="30" customWidth="1"/>
    <col min="5" max="5" width="8.42578125" style="30" customWidth="1"/>
    <col min="6" max="6" width="8.42578125" style="30" bestFit="1" customWidth="1"/>
    <col min="7" max="7" width="6.85546875" style="30" bestFit="1" customWidth="1"/>
    <col min="8" max="9" width="7.85546875" style="30" bestFit="1" customWidth="1"/>
    <col min="10" max="10" width="11.140625" style="30" bestFit="1" customWidth="1"/>
    <col min="11" max="11" width="9.5703125" style="30" bestFit="1" customWidth="1"/>
    <col min="12" max="15" width="5.42578125" style="30" bestFit="1" customWidth="1"/>
    <col min="16" max="16" width="5.42578125" style="30" customWidth="1"/>
    <col min="17" max="17" width="6" style="30" bestFit="1" customWidth="1"/>
    <col min="18" max="18" width="4.42578125" style="30" bestFit="1" customWidth="1"/>
    <col min="19" max="20" width="5.42578125" style="30" bestFit="1" customWidth="1"/>
    <col min="21" max="21" width="6.85546875" style="30" bestFit="1" customWidth="1"/>
    <col min="22" max="22" width="8.5703125" style="30" bestFit="1" customWidth="1"/>
    <col min="23" max="23" width="7.42578125" style="30" customWidth="1"/>
    <col min="24" max="24" width="6" style="30" bestFit="1" customWidth="1"/>
    <col min="25" max="16384" width="9.140625" style="30"/>
  </cols>
  <sheetData>
    <row r="1" spans="1:25" ht="15" customHeight="1">
      <c r="A1" s="142" t="s">
        <v>40</v>
      </c>
      <c r="B1" s="144" t="s">
        <v>186</v>
      </c>
      <c r="C1" s="219" t="s">
        <v>41</v>
      </c>
      <c r="D1" s="220"/>
      <c r="E1" s="220"/>
      <c r="F1" s="221"/>
      <c r="G1" s="143" t="s">
        <v>42</v>
      </c>
      <c r="H1" s="143" t="s">
        <v>43</v>
      </c>
      <c r="I1" s="143" t="s">
        <v>44</v>
      </c>
      <c r="J1" s="144" t="s">
        <v>66</v>
      </c>
      <c r="K1" s="144" t="s">
        <v>67</v>
      </c>
      <c r="L1" s="143">
        <v>1</v>
      </c>
      <c r="M1" s="143" t="s">
        <v>45</v>
      </c>
      <c r="N1" s="143">
        <v>2</v>
      </c>
      <c r="O1" s="144" t="s">
        <v>35</v>
      </c>
      <c r="P1" s="144" t="s">
        <v>63</v>
      </c>
      <c r="Q1" s="143" t="s">
        <v>34</v>
      </c>
      <c r="R1" s="145" t="s">
        <v>62</v>
      </c>
      <c r="S1" s="145" t="s">
        <v>46</v>
      </c>
      <c r="T1" s="145" t="s">
        <v>47</v>
      </c>
      <c r="U1" s="144" t="s">
        <v>42</v>
      </c>
      <c r="V1" s="146" t="s">
        <v>61</v>
      </c>
      <c r="W1" s="144" t="s">
        <v>137</v>
      </c>
      <c r="X1" s="140" t="s">
        <v>25</v>
      </c>
      <c r="Y1" s="141" t="s">
        <v>133</v>
      </c>
    </row>
    <row r="2" spans="1:25" hidden="1">
      <c r="A2" s="147">
        <v>1</v>
      </c>
      <c r="B2" s="164">
        <v>41639</v>
      </c>
      <c r="C2" s="216" t="s">
        <v>120</v>
      </c>
      <c r="D2" s="216"/>
      <c r="E2" s="216" t="s">
        <v>102</v>
      </c>
      <c r="F2" s="216"/>
      <c r="G2" s="139">
        <v>7.5</v>
      </c>
      <c r="H2" s="139">
        <v>3.5</v>
      </c>
      <c r="I2" s="31">
        <v>4</v>
      </c>
      <c r="J2" s="137" t="s">
        <v>121</v>
      </c>
      <c r="K2" s="137" t="s">
        <v>122</v>
      </c>
      <c r="L2" s="32">
        <v>0.25</v>
      </c>
      <c r="M2" s="32">
        <v>0.51</v>
      </c>
      <c r="N2" s="32">
        <v>0.24</v>
      </c>
      <c r="O2" s="32">
        <v>0.51</v>
      </c>
      <c r="P2" s="32">
        <v>0.49</v>
      </c>
      <c r="Q2" s="33">
        <v>-0.5</v>
      </c>
      <c r="R2" s="138" t="s">
        <v>35</v>
      </c>
      <c r="S2" s="33">
        <v>3</v>
      </c>
      <c r="T2" s="33">
        <v>3</v>
      </c>
      <c r="U2" s="138" t="s">
        <v>136</v>
      </c>
      <c r="V2" s="135" t="s">
        <v>35</v>
      </c>
      <c r="W2" s="120">
        <v>0.83</v>
      </c>
      <c r="X2" s="135" t="s">
        <v>105</v>
      </c>
      <c r="Y2" s="150" t="s">
        <v>138</v>
      </c>
    </row>
    <row r="3" spans="1:25" hidden="1">
      <c r="A3" s="147">
        <v>2</v>
      </c>
      <c r="B3" s="164">
        <v>41639</v>
      </c>
      <c r="C3" s="216" t="s">
        <v>104</v>
      </c>
      <c r="D3" s="216"/>
      <c r="E3" s="216" t="s">
        <v>111</v>
      </c>
      <c r="F3" s="216"/>
      <c r="G3" s="139">
        <v>7.2</v>
      </c>
      <c r="H3" s="139">
        <v>3.6</v>
      </c>
      <c r="I3" s="31">
        <v>3.6</v>
      </c>
      <c r="J3" s="137" t="s">
        <v>123</v>
      </c>
      <c r="K3" s="137" t="s">
        <v>124</v>
      </c>
      <c r="L3" s="32">
        <v>0.35</v>
      </c>
      <c r="M3" s="32">
        <v>0.53</v>
      </c>
      <c r="N3" s="32">
        <v>0.13</v>
      </c>
      <c r="O3" s="32">
        <v>0.57999999999999996</v>
      </c>
      <c r="P3" s="32">
        <v>0.42</v>
      </c>
      <c r="Q3" s="33">
        <v>0</v>
      </c>
      <c r="R3" s="138" t="s">
        <v>35</v>
      </c>
      <c r="S3" s="33">
        <v>2</v>
      </c>
      <c r="T3" s="33">
        <v>2</v>
      </c>
      <c r="U3" s="138" t="s">
        <v>136</v>
      </c>
      <c r="V3" s="135" t="s">
        <v>35</v>
      </c>
      <c r="W3" s="120">
        <v>0.9</v>
      </c>
      <c r="X3" s="135" t="s">
        <v>105</v>
      </c>
      <c r="Y3" s="150" t="s">
        <v>138</v>
      </c>
    </row>
    <row r="4" spans="1:25" hidden="1">
      <c r="A4" s="147">
        <v>3</v>
      </c>
      <c r="B4" s="164">
        <v>41639</v>
      </c>
      <c r="C4" s="217" t="s">
        <v>112</v>
      </c>
      <c r="D4" s="216"/>
      <c r="E4" s="217" t="s">
        <v>113</v>
      </c>
      <c r="F4" s="216"/>
      <c r="G4" s="139">
        <v>8.6999999999999993</v>
      </c>
      <c r="H4" s="139">
        <v>4.9000000000000004</v>
      </c>
      <c r="I4" s="31">
        <v>3.8</v>
      </c>
      <c r="J4" s="137" t="s">
        <v>126</v>
      </c>
      <c r="K4" s="137" t="s">
        <v>127</v>
      </c>
      <c r="L4" s="32">
        <v>0.48</v>
      </c>
      <c r="M4" s="32">
        <v>0.15</v>
      </c>
      <c r="N4" s="32">
        <v>0.38</v>
      </c>
      <c r="O4" s="32">
        <v>0.56999999999999995</v>
      </c>
      <c r="P4" s="32">
        <v>0.43</v>
      </c>
      <c r="Q4" s="33">
        <v>1.1000000000000001</v>
      </c>
      <c r="R4" s="138" t="s">
        <v>35</v>
      </c>
      <c r="S4" s="33">
        <v>5</v>
      </c>
      <c r="T4" s="33">
        <v>3</v>
      </c>
      <c r="U4" s="138" t="s">
        <v>134</v>
      </c>
      <c r="V4" s="135" t="s">
        <v>35</v>
      </c>
      <c r="W4" s="120">
        <v>0.64</v>
      </c>
      <c r="X4" s="135" t="s">
        <v>128</v>
      </c>
      <c r="Y4" s="150" t="s">
        <v>138</v>
      </c>
    </row>
    <row r="5" spans="1:25" hidden="1">
      <c r="A5" s="147">
        <v>4</v>
      </c>
      <c r="B5" s="164">
        <v>41639</v>
      </c>
      <c r="C5" s="217" t="s">
        <v>115</v>
      </c>
      <c r="D5" s="216"/>
      <c r="E5" s="217" t="s">
        <v>125</v>
      </c>
      <c r="F5" s="216"/>
      <c r="G5" s="139">
        <v>8.1999999999999993</v>
      </c>
      <c r="H5" s="139">
        <v>5.5</v>
      </c>
      <c r="I5" s="31">
        <v>2.7</v>
      </c>
      <c r="J5" s="137" t="s">
        <v>130</v>
      </c>
      <c r="K5" s="137" t="s">
        <v>131</v>
      </c>
      <c r="L5" s="32">
        <v>0.47</v>
      </c>
      <c r="M5" s="32">
        <v>0.41</v>
      </c>
      <c r="N5" s="32">
        <v>0.13</v>
      </c>
      <c r="O5" s="32">
        <v>0.78</v>
      </c>
      <c r="P5" s="32">
        <v>0.22</v>
      </c>
      <c r="Q5" s="33">
        <v>2.9</v>
      </c>
      <c r="R5" s="138" t="s">
        <v>132</v>
      </c>
      <c r="S5" s="33">
        <v>3</v>
      </c>
      <c r="T5" s="33">
        <v>3</v>
      </c>
      <c r="U5" s="138" t="s">
        <v>135</v>
      </c>
      <c r="V5" s="135" t="s">
        <v>35</v>
      </c>
      <c r="W5" s="120">
        <v>0.57999999999999996</v>
      </c>
      <c r="X5" s="135" t="s">
        <v>110</v>
      </c>
      <c r="Y5" s="150" t="s">
        <v>138</v>
      </c>
    </row>
    <row r="6" spans="1:25" hidden="1">
      <c r="A6" s="147">
        <v>5</v>
      </c>
      <c r="B6" s="164">
        <v>41639</v>
      </c>
      <c r="C6" s="218" t="s">
        <v>140</v>
      </c>
      <c r="D6" s="218"/>
      <c r="E6" s="218" t="s">
        <v>142</v>
      </c>
      <c r="F6" s="218"/>
      <c r="G6" s="152">
        <v>7.3</v>
      </c>
      <c r="H6" s="152">
        <v>3.9</v>
      </c>
      <c r="I6" s="153">
        <v>3.4</v>
      </c>
      <c r="J6" s="154" t="s">
        <v>147</v>
      </c>
      <c r="K6" s="154" t="s">
        <v>148</v>
      </c>
      <c r="L6" s="155">
        <v>0.23</v>
      </c>
      <c r="M6" s="155">
        <v>0.44</v>
      </c>
      <c r="N6" s="155">
        <v>0.33</v>
      </c>
      <c r="O6" s="155">
        <v>0.53</v>
      </c>
      <c r="P6" s="155">
        <v>0.47</v>
      </c>
      <c r="Q6" s="156">
        <v>0.4</v>
      </c>
      <c r="R6" s="150" t="s">
        <v>35</v>
      </c>
      <c r="S6" s="156">
        <v>3</v>
      </c>
      <c r="T6" s="156">
        <v>3</v>
      </c>
      <c r="U6" s="150" t="s">
        <v>136</v>
      </c>
      <c r="V6" s="157" t="s">
        <v>136</v>
      </c>
      <c r="W6" s="158">
        <v>0.78</v>
      </c>
      <c r="X6" s="157" t="s">
        <v>105</v>
      </c>
      <c r="Y6" s="150" t="s">
        <v>138</v>
      </c>
    </row>
    <row r="7" spans="1:25" hidden="1">
      <c r="A7" s="147">
        <v>6</v>
      </c>
      <c r="B7" s="164">
        <v>41640</v>
      </c>
      <c r="C7" s="218" t="s">
        <v>149</v>
      </c>
      <c r="D7" s="218"/>
      <c r="E7" s="218" t="s">
        <v>144</v>
      </c>
      <c r="F7" s="218"/>
      <c r="G7" s="152">
        <v>8</v>
      </c>
      <c r="H7" s="152">
        <v>3.9</v>
      </c>
      <c r="I7" s="153">
        <v>4.0999999999999996</v>
      </c>
      <c r="J7" s="154" t="s">
        <v>151</v>
      </c>
      <c r="K7" s="154" t="s">
        <v>152</v>
      </c>
      <c r="L7" s="155">
        <v>0.27</v>
      </c>
      <c r="M7" s="155">
        <v>0.31</v>
      </c>
      <c r="N7" s="155">
        <v>0.32</v>
      </c>
      <c r="O7" s="155">
        <v>0.36</v>
      </c>
      <c r="P7" s="155">
        <v>0.64</v>
      </c>
      <c r="Q7" s="156">
        <v>-0.2</v>
      </c>
      <c r="R7" s="150" t="s">
        <v>63</v>
      </c>
      <c r="S7" s="156">
        <v>2</v>
      </c>
      <c r="T7" s="156">
        <v>3</v>
      </c>
      <c r="U7" s="150" t="s">
        <v>136</v>
      </c>
      <c r="V7" s="157"/>
      <c r="W7" s="158">
        <v>1</v>
      </c>
      <c r="X7" s="157" t="s">
        <v>105</v>
      </c>
      <c r="Y7" s="150" t="s">
        <v>138</v>
      </c>
    </row>
    <row r="8" spans="1:25" hidden="1">
      <c r="A8" s="147">
        <v>7</v>
      </c>
      <c r="B8" s="164">
        <v>41640</v>
      </c>
      <c r="C8" s="218" t="s">
        <v>119</v>
      </c>
      <c r="D8" s="218"/>
      <c r="E8" s="218" t="s">
        <v>154</v>
      </c>
      <c r="F8" s="218"/>
      <c r="G8" s="152">
        <v>7.6</v>
      </c>
      <c r="H8" s="152">
        <v>3</v>
      </c>
      <c r="I8" s="153">
        <v>4.7</v>
      </c>
      <c r="J8" s="154" t="s">
        <v>155</v>
      </c>
      <c r="K8" s="154" t="s">
        <v>156</v>
      </c>
      <c r="L8" s="155">
        <v>0.14000000000000001</v>
      </c>
      <c r="M8" s="155">
        <v>0.59</v>
      </c>
      <c r="N8" s="155">
        <v>0.27</v>
      </c>
      <c r="O8" s="155">
        <v>0.5</v>
      </c>
      <c r="P8" s="155">
        <v>0.5</v>
      </c>
      <c r="Q8" s="156">
        <v>-1.7</v>
      </c>
      <c r="R8" s="150" t="s">
        <v>157</v>
      </c>
      <c r="S8" s="156">
        <v>3</v>
      </c>
      <c r="T8" s="156">
        <v>3</v>
      </c>
      <c r="U8" s="150" t="s">
        <v>136</v>
      </c>
      <c r="V8" s="157"/>
      <c r="W8" s="158">
        <v>0.89</v>
      </c>
      <c r="X8" s="157" t="s">
        <v>145</v>
      </c>
      <c r="Y8" s="150" t="s">
        <v>138</v>
      </c>
    </row>
    <row r="9" spans="1:25" hidden="1">
      <c r="A9" s="147">
        <v>8</v>
      </c>
      <c r="B9" s="164">
        <v>41640</v>
      </c>
      <c r="C9" s="218" t="s">
        <v>129</v>
      </c>
      <c r="D9" s="218"/>
      <c r="E9" s="218" t="s">
        <v>139</v>
      </c>
      <c r="F9" s="218"/>
      <c r="G9" s="152">
        <v>7.7</v>
      </c>
      <c r="H9" s="152">
        <v>5.0999999999999996</v>
      </c>
      <c r="I9" s="153">
        <v>2.6</v>
      </c>
      <c r="J9" s="154" t="s">
        <v>160</v>
      </c>
      <c r="K9" s="154" t="s">
        <v>161</v>
      </c>
      <c r="L9" s="155">
        <v>0.56999999999999995</v>
      </c>
      <c r="M9" s="155">
        <v>0.17</v>
      </c>
      <c r="N9" s="155">
        <v>0.27</v>
      </c>
      <c r="O9" s="155">
        <v>0.65</v>
      </c>
      <c r="P9" s="155">
        <v>0.35</v>
      </c>
      <c r="Q9" s="156">
        <v>2.5</v>
      </c>
      <c r="R9" s="150" t="s">
        <v>132</v>
      </c>
      <c r="S9" s="156">
        <v>4</v>
      </c>
      <c r="T9" s="156">
        <v>3</v>
      </c>
      <c r="U9" s="150" t="s">
        <v>135</v>
      </c>
      <c r="V9" s="157" t="s">
        <v>35</v>
      </c>
      <c r="W9" s="158">
        <v>0.78</v>
      </c>
      <c r="X9" s="157" t="s">
        <v>110</v>
      </c>
      <c r="Y9" s="150" t="s">
        <v>176</v>
      </c>
    </row>
    <row r="10" spans="1:25" hidden="1">
      <c r="A10" s="147">
        <v>9</v>
      </c>
      <c r="B10" s="164">
        <v>41640</v>
      </c>
      <c r="C10" s="218" t="s">
        <v>103</v>
      </c>
      <c r="D10" s="218"/>
      <c r="E10" s="218" t="s">
        <v>109</v>
      </c>
      <c r="F10" s="218"/>
      <c r="G10" s="152">
        <v>6.9</v>
      </c>
      <c r="H10" s="152">
        <v>3.9</v>
      </c>
      <c r="I10" s="153">
        <v>3</v>
      </c>
      <c r="J10" s="154" t="s">
        <v>162</v>
      </c>
      <c r="K10" s="154" t="s">
        <v>163</v>
      </c>
      <c r="L10" s="155">
        <v>0.22</v>
      </c>
      <c r="M10" s="155">
        <v>0.69</v>
      </c>
      <c r="N10" s="155">
        <v>0.09</v>
      </c>
      <c r="O10" s="155">
        <v>0.63</v>
      </c>
      <c r="P10" s="155">
        <v>0.38</v>
      </c>
      <c r="Q10" s="156">
        <v>0.9</v>
      </c>
      <c r="R10" s="150" t="s">
        <v>35</v>
      </c>
      <c r="S10" s="156">
        <v>3</v>
      </c>
      <c r="T10" s="156">
        <v>1</v>
      </c>
      <c r="U10" s="150" t="s">
        <v>136</v>
      </c>
      <c r="V10" s="157"/>
      <c r="W10" s="158">
        <v>0.7</v>
      </c>
      <c r="X10" s="157" t="s">
        <v>143</v>
      </c>
      <c r="Y10" s="150" t="s">
        <v>138</v>
      </c>
    </row>
    <row r="11" spans="1:25" hidden="1">
      <c r="A11" s="147">
        <v>10</v>
      </c>
      <c r="B11" s="164">
        <v>41640</v>
      </c>
      <c r="C11" s="218" t="s">
        <v>107</v>
      </c>
      <c r="D11" s="218"/>
      <c r="E11" s="218" t="s">
        <v>158</v>
      </c>
      <c r="F11" s="218"/>
      <c r="G11" s="152">
        <v>7.8</v>
      </c>
      <c r="H11" s="152">
        <v>4.3</v>
      </c>
      <c r="I11" s="153">
        <v>3.6</v>
      </c>
      <c r="J11" s="154" t="s">
        <v>164</v>
      </c>
      <c r="K11" s="154" t="s">
        <v>165</v>
      </c>
      <c r="L11" s="155">
        <v>0.36</v>
      </c>
      <c r="M11" s="155">
        <v>0.56000000000000005</v>
      </c>
      <c r="N11" s="155">
        <v>0.08</v>
      </c>
      <c r="O11" s="155">
        <v>0.74</v>
      </c>
      <c r="P11" s="155">
        <v>0.26</v>
      </c>
      <c r="Q11" s="156">
        <v>0.7</v>
      </c>
      <c r="R11" s="150" t="s">
        <v>132</v>
      </c>
      <c r="S11" s="156">
        <v>3</v>
      </c>
      <c r="T11" s="156">
        <v>2</v>
      </c>
      <c r="U11" s="150" t="s">
        <v>135</v>
      </c>
      <c r="V11" s="157" t="s">
        <v>35</v>
      </c>
      <c r="W11" s="158">
        <v>0.78</v>
      </c>
      <c r="X11" s="157" t="s">
        <v>110</v>
      </c>
      <c r="Y11" s="150" t="s">
        <v>138</v>
      </c>
    </row>
    <row r="12" spans="1:25" hidden="1">
      <c r="A12" s="147">
        <v>11</v>
      </c>
      <c r="B12" s="164">
        <v>41640</v>
      </c>
      <c r="C12" s="216" t="s">
        <v>141</v>
      </c>
      <c r="D12" s="216"/>
      <c r="E12" s="216" t="s">
        <v>153</v>
      </c>
      <c r="F12" s="216"/>
      <c r="G12" s="139">
        <v>7</v>
      </c>
      <c r="H12" s="139">
        <v>4.3</v>
      </c>
      <c r="I12" s="31">
        <v>2.7</v>
      </c>
      <c r="J12" s="137" t="s">
        <v>166</v>
      </c>
      <c r="K12" s="137" t="s">
        <v>167</v>
      </c>
      <c r="L12" s="32">
        <v>0.49</v>
      </c>
      <c r="M12" s="32">
        <v>0.35</v>
      </c>
      <c r="N12" s="32">
        <v>0.17</v>
      </c>
      <c r="O12" s="32">
        <v>0.7</v>
      </c>
      <c r="P12" s="32">
        <v>0.3</v>
      </c>
      <c r="Q12" s="33">
        <v>1.6</v>
      </c>
      <c r="R12" s="151" t="s">
        <v>132</v>
      </c>
      <c r="S12" s="33">
        <v>3</v>
      </c>
      <c r="T12" s="33">
        <v>2</v>
      </c>
      <c r="U12" s="150" t="s">
        <v>135</v>
      </c>
      <c r="V12" s="135" t="s">
        <v>35</v>
      </c>
      <c r="W12" s="120">
        <v>0.67</v>
      </c>
      <c r="X12" s="135" t="s">
        <v>110</v>
      </c>
      <c r="Y12" s="159" t="s">
        <v>138</v>
      </c>
    </row>
    <row r="13" spans="1:25" hidden="1">
      <c r="A13" s="147">
        <v>12</v>
      </c>
      <c r="B13" s="164">
        <v>41640</v>
      </c>
      <c r="C13" s="216" t="s">
        <v>116</v>
      </c>
      <c r="D13" s="216"/>
      <c r="E13" s="216" t="s">
        <v>118</v>
      </c>
      <c r="F13" s="216"/>
      <c r="G13" s="139">
        <v>7.5</v>
      </c>
      <c r="H13" s="139">
        <v>3.8</v>
      </c>
      <c r="I13" s="31">
        <v>3.7</v>
      </c>
      <c r="J13" s="137" t="s">
        <v>168</v>
      </c>
      <c r="K13" s="137" t="s">
        <v>169</v>
      </c>
      <c r="L13" s="32">
        <v>0.22</v>
      </c>
      <c r="M13" s="32">
        <v>0.48</v>
      </c>
      <c r="N13" s="32">
        <v>0.3</v>
      </c>
      <c r="O13" s="32">
        <v>0.5</v>
      </c>
      <c r="P13" s="32">
        <v>0.5</v>
      </c>
      <c r="Q13" s="33">
        <v>0.1</v>
      </c>
      <c r="R13" s="151" t="s">
        <v>63</v>
      </c>
      <c r="S13" s="33">
        <v>3</v>
      </c>
      <c r="T13" s="33">
        <v>3</v>
      </c>
      <c r="U13" s="151" t="s">
        <v>136</v>
      </c>
      <c r="V13" s="135"/>
      <c r="W13" s="120">
        <v>0.6</v>
      </c>
      <c r="X13" s="135" t="s">
        <v>105</v>
      </c>
      <c r="Y13" s="159" t="s">
        <v>176</v>
      </c>
    </row>
    <row r="14" spans="1:25" hidden="1">
      <c r="A14" s="147">
        <v>13</v>
      </c>
      <c r="B14" s="164">
        <v>41640</v>
      </c>
      <c r="C14" s="217" t="s">
        <v>114</v>
      </c>
      <c r="D14" s="216"/>
      <c r="E14" s="217" t="s">
        <v>113</v>
      </c>
      <c r="F14" s="216"/>
      <c r="G14" s="139">
        <v>7.1</v>
      </c>
      <c r="H14" s="139">
        <v>3.2</v>
      </c>
      <c r="I14" s="31">
        <v>3.9</v>
      </c>
      <c r="J14" s="137" t="s">
        <v>170</v>
      </c>
      <c r="K14" s="137" t="s">
        <v>171</v>
      </c>
      <c r="L14" s="32">
        <v>0.42</v>
      </c>
      <c r="M14" s="32">
        <v>0.19</v>
      </c>
      <c r="N14" s="32">
        <v>0.38</v>
      </c>
      <c r="O14" s="32">
        <v>0.54</v>
      </c>
      <c r="P14" s="32">
        <v>0.46</v>
      </c>
      <c r="Q14" s="33">
        <v>-0.7</v>
      </c>
      <c r="R14" s="151" t="s">
        <v>35</v>
      </c>
      <c r="S14" s="33">
        <v>3</v>
      </c>
      <c r="T14" s="33">
        <v>3</v>
      </c>
      <c r="U14" s="151" t="s">
        <v>136</v>
      </c>
      <c r="V14" s="135"/>
      <c r="W14" s="120">
        <v>0.9</v>
      </c>
      <c r="X14" s="135" t="s">
        <v>105</v>
      </c>
      <c r="Y14" s="159" t="s">
        <v>138</v>
      </c>
    </row>
    <row r="15" spans="1:25" hidden="1">
      <c r="A15" s="147">
        <v>14</v>
      </c>
      <c r="B15" s="164">
        <v>41640</v>
      </c>
      <c r="C15" s="217" t="s">
        <v>108</v>
      </c>
      <c r="D15" s="216"/>
      <c r="E15" s="217" t="s">
        <v>125</v>
      </c>
      <c r="F15" s="216"/>
      <c r="G15" s="139">
        <v>7.5</v>
      </c>
      <c r="H15" s="139">
        <v>3.6</v>
      </c>
      <c r="I15" s="31">
        <v>3.8</v>
      </c>
      <c r="J15" s="137" t="s">
        <v>172</v>
      </c>
      <c r="K15" s="137" t="s">
        <v>173</v>
      </c>
      <c r="L15" s="32">
        <v>0</v>
      </c>
      <c r="M15" s="32">
        <v>0.85</v>
      </c>
      <c r="N15" s="32">
        <v>0.15</v>
      </c>
      <c r="O15" s="32">
        <v>0.5</v>
      </c>
      <c r="P15" s="32">
        <v>0.5</v>
      </c>
      <c r="Q15" s="33">
        <v>-0.2</v>
      </c>
      <c r="R15" s="151" t="s">
        <v>157</v>
      </c>
      <c r="S15" s="33">
        <v>1</v>
      </c>
      <c r="T15" s="33">
        <v>3</v>
      </c>
      <c r="U15" s="151" t="s">
        <v>136</v>
      </c>
      <c r="V15" s="135" t="s">
        <v>63</v>
      </c>
      <c r="W15" s="120">
        <v>0.64</v>
      </c>
      <c r="X15" s="135" t="s">
        <v>150</v>
      </c>
      <c r="Y15" s="159" t="s">
        <v>138</v>
      </c>
    </row>
    <row r="16" spans="1:25" hidden="1">
      <c r="A16" s="147">
        <v>15</v>
      </c>
      <c r="B16" s="164">
        <v>41640</v>
      </c>
      <c r="C16" s="216" t="s">
        <v>106</v>
      </c>
      <c r="D16" s="216"/>
      <c r="E16" s="216" t="s">
        <v>117</v>
      </c>
      <c r="F16" s="216"/>
      <c r="G16" s="139">
        <v>7</v>
      </c>
      <c r="H16" s="139">
        <v>4.3</v>
      </c>
      <c r="I16" s="31">
        <v>2.7</v>
      </c>
      <c r="J16" s="137" t="s">
        <v>174</v>
      </c>
      <c r="K16" s="137" t="s">
        <v>175</v>
      </c>
      <c r="L16" s="32">
        <v>0.28000000000000003</v>
      </c>
      <c r="M16" s="32">
        <v>0.53</v>
      </c>
      <c r="N16" s="32">
        <v>0.2</v>
      </c>
      <c r="O16" s="32">
        <v>0.57999999999999996</v>
      </c>
      <c r="P16" s="32">
        <v>0.42</v>
      </c>
      <c r="Q16" s="33">
        <v>1.6</v>
      </c>
      <c r="R16" s="151" t="s">
        <v>35</v>
      </c>
      <c r="S16" s="33">
        <v>3</v>
      </c>
      <c r="T16" s="33">
        <v>2</v>
      </c>
      <c r="U16" s="151" t="s">
        <v>136</v>
      </c>
      <c r="V16" s="135"/>
      <c r="W16" s="120">
        <v>0.75</v>
      </c>
      <c r="X16" s="135" t="s">
        <v>159</v>
      </c>
      <c r="Y16" s="159" t="s">
        <v>138</v>
      </c>
    </row>
    <row r="17" spans="1:25" hidden="1">
      <c r="A17" s="147">
        <v>16</v>
      </c>
      <c r="B17" s="164">
        <v>41640</v>
      </c>
      <c r="C17" s="216" t="s">
        <v>111</v>
      </c>
      <c r="D17" s="216"/>
      <c r="E17" s="216" t="s">
        <v>146</v>
      </c>
      <c r="F17" s="216"/>
      <c r="G17" s="139">
        <v>6.9</v>
      </c>
      <c r="H17" s="139">
        <v>3</v>
      </c>
      <c r="I17" s="31">
        <v>3.9</v>
      </c>
      <c r="J17" s="137" t="s">
        <v>178</v>
      </c>
      <c r="K17" s="137" t="s">
        <v>179</v>
      </c>
      <c r="L17" s="32">
        <v>0.05</v>
      </c>
      <c r="M17" s="32">
        <v>0.86</v>
      </c>
      <c r="N17" s="32">
        <v>0.09</v>
      </c>
      <c r="O17" s="32">
        <v>0.5</v>
      </c>
      <c r="P17" s="32">
        <v>0.5</v>
      </c>
      <c r="Q17" s="33">
        <v>-0.9</v>
      </c>
      <c r="R17" s="159" t="s">
        <v>63</v>
      </c>
      <c r="S17" s="33">
        <v>2</v>
      </c>
      <c r="T17" s="33">
        <v>2</v>
      </c>
      <c r="U17" s="159" t="s">
        <v>136</v>
      </c>
      <c r="V17" s="135"/>
      <c r="W17" s="120">
        <v>0.63</v>
      </c>
      <c r="X17" s="135" t="s">
        <v>180</v>
      </c>
      <c r="Y17" s="161" t="s">
        <v>138</v>
      </c>
    </row>
    <row r="18" spans="1:25" hidden="1">
      <c r="A18" s="147">
        <v>17</v>
      </c>
      <c r="B18" s="164">
        <v>41641</v>
      </c>
      <c r="C18" s="216" t="s">
        <v>115</v>
      </c>
      <c r="D18" s="216"/>
      <c r="E18" s="216" t="s">
        <v>177</v>
      </c>
      <c r="F18" s="216"/>
      <c r="G18" s="139">
        <v>6.5</v>
      </c>
      <c r="H18" s="139">
        <v>3.7</v>
      </c>
      <c r="I18" s="31">
        <v>2.8</v>
      </c>
      <c r="J18" s="137" t="s">
        <v>181</v>
      </c>
      <c r="K18" s="137" t="s">
        <v>182</v>
      </c>
      <c r="L18" s="32">
        <v>0.41</v>
      </c>
      <c r="M18" s="32">
        <v>0.39</v>
      </c>
      <c r="N18" s="32">
        <v>0.2</v>
      </c>
      <c r="O18" s="32">
        <v>0.62</v>
      </c>
      <c r="P18" s="32">
        <v>0.38</v>
      </c>
      <c r="Q18" s="33">
        <v>0.9</v>
      </c>
      <c r="R18" s="159" t="s">
        <v>35</v>
      </c>
      <c r="S18" s="33">
        <v>3</v>
      </c>
      <c r="T18" s="33">
        <v>3</v>
      </c>
      <c r="U18" s="159" t="s">
        <v>136</v>
      </c>
      <c r="V18" s="135"/>
      <c r="W18" s="120">
        <v>0.64</v>
      </c>
      <c r="X18" s="135" t="s">
        <v>105</v>
      </c>
      <c r="Y18" s="162" t="s">
        <v>176</v>
      </c>
    </row>
    <row r="19" spans="1:25">
      <c r="A19" s="147">
        <v>18</v>
      </c>
      <c r="B19" s="164">
        <v>41642</v>
      </c>
      <c r="C19" s="216" t="s">
        <v>139</v>
      </c>
      <c r="D19" s="216"/>
      <c r="E19" s="217" t="s">
        <v>112</v>
      </c>
      <c r="F19" s="216"/>
      <c r="G19" s="139">
        <v>8.6</v>
      </c>
      <c r="H19" s="139">
        <v>3.6</v>
      </c>
      <c r="I19" s="31">
        <v>5</v>
      </c>
      <c r="J19" s="137" t="s">
        <v>188</v>
      </c>
      <c r="K19" s="137" t="s">
        <v>189</v>
      </c>
      <c r="L19" s="32">
        <v>0.13</v>
      </c>
      <c r="M19" s="32">
        <v>0.46</v>
      </c>
      <c r="N19" s="32">
        <v>0.42</v>
      </c>
      <c r="O19" s="32">
        <v>0.3</v>
      </c>
      <c r="P19" s="32">
        <v>0.7</v>
      </c>
      <c r="Q19" s="33">
        <v>-1.4</v>
      </c>
      <c r="R19" s="161" t="s">
        <v>157</v>
      </c>
      <c r="S19" s="33">
        <v>2</v>
      </c>
      <c r="T19" s="33">
        <v>4</v>
      </c>
      <c r="U19" s="161" t="s">
        <v>134</v>
      </c>
      <c r="V19" s="135"/>
      <c r="W19" s="120">
        <v>0.5</v>
      </c>
      <c r="X19" s="135" t="s">
        <v>187</v>
      </c>
      <c r="Y19" s="33"/>
    </row>
    <row r="20" spans="1:25">
      <c r="A20" s="147">
        <v>19</v>
      </c>
      <c r="B20" s="164">
        <v>41642</v>
      </c>
      <c r="C20" s="218" t="s">
        <v>129</v>
      </c>
      <c r="D20" s="218"/>
      <c r="E20" s="216" t="s">
        <v>104</v>
      </c>
      <c r="F20" s="216"/>
      <c r="G20" s="139">
        <v>7.7</v>
      </c>
      <c r="H20" s="139">
        <v>4.8</v>
      </c>
      <c r="I20" s="31">
        <v>2.9</v>
      </c>
      <c r="J20" s="137" t="s">
        <v>190</v>
      </c>
      <c r="K20" s="137" t="s">
        <v>191</v>
      </c>
      <c r="L20" s="32">
        <v>0.6</v>
      </c>
      <c r="M20" s="32">
        <v>0.04</v>
      </c>
      <c r="N20" s="32">
        <v>0.36</v>
      </c>
      <c r="O20" s="32">
        <v>0.69</v>
      </c>
      <c r="P20" s="32">
        <v>0.31</v>
      </c>
      <c r="Q20" s="160">
        <v>1.8</v>
      </c>
      <c r="R20" s="161" t="s">
        <v>35</v>
      </c>
      <c r="S20" s="160">
        <v>3</v>
      </c>
      <c r="T20" s="160">
        <v>3</v>
      </c>
      <c r="U20" s="161" t="s">
        <v>134</v>
      </c>
      <c r="V20" s="135"/>
      <c r="W20" s="120">
        <v>0.28999999999999998</v>
      </c>
      <c r="X20" s="135" t="s">
        <v>110</v>
      </c>
      <c r="Y20" s="160"/>
    </row>
    <row r="21" spans="1:25">
      <c r="A21" s="147">
        <v>20</v>
      </c>
      <c r="B21" s="164">
        <v>41642</v>
      </c>
      <c r="C21" s="216" t="s">
        <v>102</v>
      </c>
      <c r="D21" s="216"/>
      <c r="E21" s="218" t="s">
        <v>103</v>
      </c>
      <c r="F21" s="218"/>
      <c r="G21" s="139">
        <v>8.1999999999999993</v>
      </c>
      <c r="H21" s="139">
        <v>4.3</v>
      </c>
      <c r="I21" s="31">
        <v>3.9</v>
      </c>
      <c r="J21" s="137" t="s">
        <v>193</v>
      </c>
      <c r="K21" s="137" t="s">
        <v>194</v>
      </c>
      <c r="L21" s="32">
        <v>0.15</v>
      </c>
      <c r="M21" s="32">
        <v>0.75</v>
      </c>
      <c r="N21" s="32">
        <v>0.1</v>
      </c>
      <c r="O21" s="32">
        <v>0.51</v>
      </c>
      <c r="P21" s="32">
        <v>0.49</v>
      </c>
      <c r="Q21" s="160">
        <v>0.4</v>
      </c>
      <c r="R21" s="161" t="s">
        <v>35</v>
      </c>
      <c r="S21" s="160">
        <v>3</v>
      </c>
      <c r="T21" s="160">
        <v>2</v>
      </c>
      <c r="U21" s="161" t="s">
        <v>134</v>
      </c>
      <c r="V21" s="135"/>
      <c r="W21" s="120">
        <v>0.45</v>
      </c>
      <c r="X21" s="135" t="s">
        <v>110</v>
      </c>
      <c r="Y21" s="160"/>
    </row>
    <row r="22" spans="1:25">
      <c r="A22" s="147">
        <v>21</v>
      </c>
      <c r="B22" s="164">
        <v>41642</v>
      </c>
      <c r="C22" s="217" t="s">
        <v>120</v>
      </c>
      <c r="D22" s="216"/>
      <c r="E22" s="218" t="s">
        <v>107</v>
      </c>
      <c r="F22" s="218"/>
      <c r="G22" s="139">
        <v>7.5</v>
      </c>
      <c r="H22" s="139">
        <v>4.0999999999999996</v>
      </c>
      <c r="I22" s="31">
        <v>3.4</v>
      </c>
      <c r="J22" s="137" t="s">
        <v>195</v>
      </c>
      <c r="K22" s="137" t="s">
        <v>196</v>
      </c>
      <c r="L22" s="32">
        <v>0.38</v>
      </c>
      <c r="M22" s="32">
        <v>0.36</v>
      </c>
      <c r="N22" s="32">
        <v>0.25</v>
      </c>
      <c r="O22" s="32">
        <v>0.63</v>
      </c>
      <c r="P22" s="32">
        <v>0.37</v>
      </c>
      <c r="Q22" s="160">
        <v>0.7</v>
      </c>
      <c r="R22" s="161" t="s">
        <v>35</v>
      </c>
      <c r="S22" s="160">
        <v>3</v>
      </c>
      <c r="T22" s="160">
        <v>2</v>
      </c>
      <c r="U22" s="161" t="s">
        <v>134</v>
      </c>
      <c r="V22" s="135"/>
      <c r="W22" s="120">
        <v>0.46</v>
      </c>
      <c r="X22" s="135" t="s">
        <v>105</v>
      </c>
      <c r="Y22" s="165"/>
    </row>
    <row r="23" spans="1:25">
      <c r="A23" s="147">
        <v>22</v>
      </c>
      <c r="B23" s="164">
        <v>41642</v>
      </c>
      <c r="C23" s="222" t="s">
        <v>119</v>
      </c>
      <c r="D23" s="223"/>
      <c r="E23" s="217" t="s">
        <v>158</v>
      </c>
      <c r="F23" s="216"/>
      <c r="G23" s="139">
        <v>6.3</v>
      </c>
      <c r="H23" s="139">
        <v>3.1</v>
      </c>
      <c r="I23" s="31">
        <v>3.2</v>
      </c>
      <c r="J23" s="137" t="s">
        <v>197</v>
      </c>
      <c r="K23" s="137" t="s">
        <v>198</v>
      </c>
      <c r="L23" s="32">
        <v>0</v>
      </c>
      <c r="M23" s="32">
        <v>0.89</v>
      </c>
      <c r="N23" s="32">
        <v>0.11</v>
      </c>
      <c r="O23" s="32">
        <v>0.5</v>
      </c>
      <c r="P23" s="32">
        <v>0.5</v>
      </c>
      <c r="Q23" s="160">
        <v>-0.1</v>
      </c>
      <c r="R23" s="161" t="s">
        <v>63</v>
      </c>
      <c r="S23" s="160">
        <v>2</v>
      </c>
      <c r="T23" s="160">
        <v>1</v>
      </c>
      <c r="U23" s="161" t="s">
        <v>134</v>
      </c>
      <c r="V23" s="135"/>
      <c r="W23" s="120">
        <v>0.28999999999999998</v>
      </c>
      <c r="X23" s="135" t="s">
        <v>143</v>
      </c>
      <c r="Y23" s="165"/>
    </row>
    <row r="24" spans="1:25">
      <c r="A24" s="147">
        <v>23</v>
      </c>
      <c r="B24" s="164">
        <v>41642</v>
      </c>
      <c r="C24" s="224" t="s">
        <v>154</v>
      </c>
      <c r="D24" s="223"/>
      <c r="E24" s="217" t="s">
        <v>113</v>
      </c>
      <c r="F24" s="216"/>
      <c r="G24" s="139">
        <v>8.1</v>
      </c>
      <c r="H24" s="139">
        <v>4.5999999999999996</v>
      </c>
      <c r="I24" s="31">
        <v>3.5</v>
      </c>
      <c r="J24" s="137" t="s">
        <v>189</v>
      </c>
      <c r="K24" s="137" t="s">
        <v>199</v>
      </c>
      <c r="L24" s="32">
        <v>0.37</v>
      </c>
      <c r="M24" s="32">
        <v>0.33</v>
      </c>
      <c r="N24" s="32">
        <v>0.3</v>
      </c>
      <c r="O24" s="32">
        <v>0.52</v>
      </c>
      <c r="P24" s="32">
        <v>0.42</v>
      </c>
      <c r="Q24" s="160">
        <v>1.1000000000000001</v>
      </c>
      <c r="R24" s="161" t="s">
        <v>35</v>
      </c>
      <c r="S24" s="160">
        <v>4</v>
      </c>
      <c r="T24" s="160">
        <v>2</v>
      </c>
      <c r="U24" s="161" t="s">
        <v>134</v>
      </c>
      <c r="V24" s="135"/>
      <c r="W24" s="120">
        <v>0.5</v>
      </c>
      <c r="X24" s="135" t="s">
        <v>110</v>
      </c>
      <c r="Y24" s="165"/>
    </row>
    <row r="25" spans="1:25">
      <c r="A25" s="147">
        <v>24</v>
      </c>
      <c r="B25" s="164">
        <v>41642</v>
      </c>
      <c r="C25" s="222" t="s">
        <v>114</v>
      </c>
      <c r="D25" s="223"/>
      <c r="E25" s="217" t="s">
        <v>109</v>
      </c>
      <c r="F25" s="216"/>
      <c r="G25" s="139">
        <v>6.4</v>
      </c>
      <c r="H25" s="139">
        <v>4.4000000000000004</v>
      </c>
      <c r="I25" s="31">
        <v>2</v>
      </c>
      <c r="J25" s="137" t="s">
        <v>200</v>
      </c>
      <c r="K25" s="137" t="s">
        <v>201</v>
      </c>
      <c r="L25" s="32">
        <v>0.49</v>
      </c>
      <c r="M25" s="32">
        <v>0.48</v>
      </c>
      <c r="N25" s="32">
        <v>0.04</v>
      </c>
      <c r="O25" s="32">
        <v>0.75</v>
      </c>
      <c r="P25" s="32">
        <v>0.25</v>
      </c>
      <c r="Q25" s="160">
        <v>2.4</v>
      </c>
      <c r="R25" s="161" t="s">
        <v>132</v>
      </c>
      <c r="S25" s="160">
        <v>3</v>
      </c>
      <c r="T25" s="160">
        <v>2</v>
      </c>
      <c r="U25" s="161" t="s">
        <v>134</v>
      </c>
      <c r="V25" s="135"/>
      <c r="W25" s="120">
        <v>0.25</v>
      </c>
      <c r="X25" s="135" t="s">
        <v>159</v>
      </c>
      <c r="Y25" s="165"/>
    </row>
    <row r="26" spans="1:25">
      <c r="A26" s="147">
        <v>25</v>
      </c>
      <c r="B26" s="164">
        <v>41642</v>
      </c>
      <c r="C26" s="222" t="s">
        <v>116</v>
      </c>
      <c r="D26" s="223"/>
      <c r="E26" s="217" t="s">
        <v>125</v>
      </c>
      <c r="F26" s="216"/>
      <c r="G26" s="139">
        <v>9</v>
      </c>
      <c r="H26" s="139">
        <v>5.0999999999999996</v>
      </c>
      <c r="I26" s="31">
        <v>3.9</v>
      </c>
      <c r="J26" s="137" t="s">
        <v>202</v>
      </c>
      <c r="K26" s="137" t="s">
        <v>203</v>
      </c>
      <c r="L26" s="32">
        <v>0.27</v>
      </c>
      <c r="M26" s="32">
        <v>0.52</v>
      </c>
      <c r="N26" s="32">
        <v>0.21</v>
      </c>
      <c r="O26" s="32">
        <v>0.63</v>
      </c>
      <c r="P26" s="32">
        <v>0.37</v>
      </c>
      <c r="Q26" s="160">
        <v>1.2</v>
      </c>
      <c r="R26" s="161" t="s">
        <v>35</v>
      </c>
      <c r="S26" s="160">
        <v>3</v>
      </c>
      <c r="T26" s="160">
        <v>3</v>
      </c>
      <c r="U26" s="161" t="s">
        <v>134</v>
      </c>
      <c r="V26" s="135"/>
      <c r="W26" s="120">
        <v>0.73</v>
      </c>
      <c r="X26" s="135" t="s">
        <v>192</v>
      </c>
      <c r="Y26" s="165"/>
    </row>
    <row r="27" spans="1:25">
      <c r="A27" s="147">
        <v>26</v>
      </c>
      <c r="B27" s="164">
        <v>41642</v>
      </c>
      <c r="C27" s="222" t="s">
        <v>106</v>
      </c>
      <c r="D27" s="223"/>
      <c r="E27" s="217" t="s">
        <v>118</v>
      </c>
      <c r="F27" s="216"/>
      <c r="G27" s="139">
        <v>8.8000000000000007</v>
      </c>
      <c r="H27" s="139">
        <v>4.5</v>
      </c>
      <c r="I27" s="31">
        <v>4.4000000000000004</v>
      </c>
      <c r="J27" s="137" t="s">
        <v>204</v>
      </c>
      <c r="K27" s="137" t="s">
        <v>205</v>
      </c>
      <c r="L27" s="32">
        <v>0.16</v>
      </c>
      <c r="M27" s="32">
        <v>0.54</v>
      </c>
      <c r="N27" s="32">
        <v>0.28999999999999998</v>
      </c>
      <c r="O27" s="32">
        <v>0.44</v>
      </c>
      <c r="P27" s="32">
        <v>0.56000000000000005</v>
      </c>
      <c r="Q27" s="160">
        <v>0.1</v>
      </c>
      <c r="R27" s="161" t="s">
        <v>157</v>
      </c>
      <c r="S27" s="160">
        <v>3</v>
      </c>
      <c r="T27" s="160">
        <v>3</v>
      </c>
      <c r="U27" s="161" t="s">
        <v>134</v>
      </c>
      <c r="V27" s="135"/>
      <c r="W27" s="120">
        <v>0.78</v>
      </c>
      <c r="X27" s="135" t="s">
        <v>192</v>
      </c>
      <c r="Y27" s="165"/>
    </row>
    <row r="28" spans="1:25">
      <c r="A28" s="147">
        <v>27</v>
      </c>
      <c r="B28" s="164">
        <v>41642</v>
      </c>
      <c r="C28" s="222" t="s">
        <v>153</v>
      </c>
      <c r="D28" s="223"/>
      <c r="E28" s="217" t="s">
        <v>117</v>
      </c>
      <c r="F28" s="216"/>
      <c r="G28" s="139">
        <v>6.7</v>
      </c>
      <c r="H28" s="139">
        <v>4.2</v>
      </c>
      <c r="I28" s="31">
        <v>2.6</v>
      </c>
      <c r="J28" s="137" t="s">
        <v>207</v>
      </c>
      <c r="K28" s="137" t="s">
        <v>206</v>
      </c>
      <c r="L28" s="32">
        <v>0.28999999999999998</v>
      </c>
      <c r="M28" s="32">
        <v>0.56000000000000005</v>
      </c>
      <c r="N28" s="32">
        <v>0.15</v>
      </c>
      <c r="O28" s="32">
        <v>0.59</v>
      </c>
      <c r="P28" s="32">
        <v>0.41</v>
      </c>
      <c r="Q28" s="160">
        <v>1.6</v>
      </c>
      <c r="R28" s="162" t="s">
        <v>35</v>
      </c>
      <c r="S28" s="160">
        <v>3</v>
      </c>
      <c r="T28" s="160">
        <v>2</v>
      </c>
      <c r="U28" s="161" t="s">
        <v>134</v>
      </c>
      <c r="V28" s="135"/>
      <c r="W28" s="120">
        <v>0.27</v>
      </c>
      <c r="X28" s="135" t="s">
        <v>143</v>
      </c>
      <c r="Y28" s="165"/>
    </row>
    <row r="29" spans="1:25">
      <c r="A29" s="147"/>
      <c r="B29" s="164"/>
      <c r="C29" s="224"/>
      <c r="D29" s="223"/>
      <c r="E29" s="217"/>
      <c r="F29" s="216"/>
      <c r="G29" s="139"/>
      <c r="H29" s="139"/>
      <c r="I29" s="31"/>
      <c r="J29" s="137"/>
      <c r="K29" s="137"/>
      <c r="L29" s="32"/>
      <c r="M29" s="32"/>
      <c r="N29" s="32"/>
      <c r="O29" s="32"/>
      <c r="P29" s="32"/>
      <c r="Q29" s="160"/>
      <c r="R29" s="161"/>
      <c r="S29" s="160"/>
      <c r="T29" s="160"/>
      <c r="U29" s="161"/>
      <c r="V29" s="135"/>
      <c r="W29" s="120"/>
      <c r="X29" s="135"/>
      <c r="Y29" s="165"/>
    </row>
  </sheetData>
  <autoFilter ref="A1:Y28">
    <filterColumn colId="1">
      <filters>
        <dateGroupItem year="2014" month="1" day="3" dateTimeGrouping="day"/>
      </filters>
    </filterColumn>
    <filterColumn colId="2" showButton="0"/>
    <filterColumn colId="3" showButton="0"/>
    <filterColumn colId="4" showButton="0"/>
  </autoFilter>
  <mergeCells count="57">
    <mergeCell ref="C28:D28"/>
    <mergeCell ref="E28:F28"/>
    <mergeCell ref="C29:D29"/>
    <mergeCell ref="E29:F29"/>
    <mergeCell ref="C25:D25"/>
    <mergeCell ref="E25:F25"/>
    <mergeCell ref="C26:D26"/>
    <mergeCell ref="E26:F26"/>
    <mergeCell ref="C27:D27"/>
    <mergeCell ref="E27:F27"/>
    <mergeCell ref="C23:D23"/>
    <mergeCell ref="E22:F22"/>
    <mergeCell ref="E23:F23"/>
    <mergeCell ref="E24:F24"/>
    <mergeCell ref="C22:D22"/>
    <mergeCell ref="C24:D24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  <mergeCell ref="C1:F1"/>
    <mergeCell ref="C2:D2"/>
    <mergeCell ref="C3:D3"/>
    <mergeCell ref="C4:D4"/>
    <mergeCell ref="C5:D5"/>
    <mergeCell ref="C16:D16"/>
    <mergeCell ref="C17:D17"/>
    <mergeCell ref="C18:D18"/>
    <mergeCell ref="C19:D19"/>
    <mergeCell ref="C20:D20"/>
    <mergeCell ref="C21:D2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conditionalFormatting sqref="G2:G29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:H29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:I29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R2:U29">
    <cfRule type="cellIs" dxfId="0" priority="4" operator="greaterThan">
      <formula>" "</formula>
    </cfRule>
  </conditionalFormatting>
  <conditionalFormatting sqref="Q2:Q29 U2:U29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2:W2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Команда1</vt:lpstr>
      <vt:lpstr>Команда2</vt:lpstr>
      <vt:lpstr>Анализ</vt:lpstr>
      <vt:lpstr>Отчет</vt:lpstr>
      <vt:lpstr>Анализ!Область_печати</vt:lpstr>
      <vt:lpstr>Команда1!Область_печати</vt:lpstr>
      <vt:lpstr>Команда2!Область_печати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2014-02-28T16:33:55Z</dcterms:created>
  <dcterms:modified xsi:type="dcterms:W3CDTF">2014-03-09T12:07:22Z</dcterms:modified>
</cp:coreProperties>
</file>